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activeTab="1"/>
  </bookViews>
  <sheets>
    <sheet name="Summary" sheetId="6" r:id="rId1"/>
    <sheet name="Admin" sheetId="7" r:id="rId2"/>
    <sheet name="Enviro" sheetId="8" r:id="rId3"/>
    <sheet name="Bank Rec" sheetId="10" r:id="rId4"/>
    <sheet name="Income" sheetId="11" r:id="rId5"/>
    <sheet name="Expenditure" sheetId="12" r:id="rId6"/>
    <sheet name="Deposit Ac" sheetId="13" r:id="rId7"/>
    <sheet name="INT TFRS" sheetId="14" r:id="rId8"/>
    <sheet name="Breakdown of Balances" sheetId="15" r:id="rId9"/>
  </sheets>
  <externalReferences>
    <externalReference r:id="rId10"/>
    <externalReference r:id="rId11"/>
    <externalReference r:id="rId12"/>
  </externalReferences>
  <definedNames>
    <definedName name="_xlnm.Print_Area" localSheetId="1">Admin!$A$1:$R$82</definedName>
    <definedName name="_xlnm.Print_Area" localSheetId="2">Enviro!$A$1:$M$60</definedName>
    <definedName name="_xlnm.Print_Area" localSheetId="5">Expenditure!$A$1:$AJ$221</definedName>
    <definedName name="_xlnm.Print_Area" localSheetId="0">Summary!$A$1:$R$68</definedName>
  </definedNames>
  <calcPr calcId="144525"/>
</workbook>
</file>

<file path=xl/calcChain.xml><?xml version="1.0" encoding="utf-8"?>
<calcChain xmlns="http://schemas.openxmlformats.org/spreadsheetml/2006/main">
  <c r="D63" i="6" l="1"/>
  <c r="C33" i="6"/>
  <c r="D14" i="8"/>
  <c r="D54" i="8"/>
  <c r="D44" i="8"/>
  <c r="D24" i="8"/>
  <c r="D50" i="8"/>
  <c r="C45" i="7"/>
  <c r="C20" i="7"/>
  <c r="U205" i="12" l="1"/>
  <c r="U206" i="12"/>
  <c r="U207" i="12"/>
  <c r="U208" i="12"/>
  <c r="U209" i="12"/>
  <c r="U210" i="12"/>
  <c r="K204" i="12"/>
  <c r="K205" i="12"/>
  <c r="K206" i="12"/>
  <c r="K207" i="12"/>
  <c r="K208" i="12"/>
  <c r="K209" i="12"/>
  <c r="K210" i="12"/>
  <c r="K211" i="12"/>
  <c r="C39" i="7" l="1"/>
  <c r="C44" i="7"/>
  <c r="C42" i="7"/>
  <c r="C40" i="7"/>
  <c r="C33" i="7"/>
  <c r="AL211" i="12"/>
  <c r="AL210" i="12"/>
  <c r="AL209" i="12"/>
  <c r="AL208" i="12"/>
  <c r="AL207" i="12"/>
  <c r="AL206" i="12"/>
  <c r="AL205" i="12"/>
  <c r="AL204" i="12"/>
  <c r="AL203" i="12"/>
  <c r="AL202" i="12"/>
  <c r="AL201" i="12"/>
  <c r="AL200" i="12"/>
  <c r="AL199" i="12"/>
  <c r="AL198" i="12"/>
  <c r="AL197" i="12"/>
  <c r="AL196" i="12"/>
  <c r="AL195" i="12"/>
  <c r="AL194" i="12"/>
  <c r="AL193" i="12"/>
  <c r="AL192" i="12"/>
  <c r="AL191" i="12"/>
  <c r="AL190" i="12"/>
  <c r="AL189" i="12"/>
  <c r="AL188" i="12"/>
  <c r="AL187" i="12"/>
  <c r="AL186" i="12"/>
  <c r="AL185" i="12"/>
  <c r="AL184" i="12"/>
  <c r="AL183" i="12"/>
  <c r="AL182" i="12"/>
  <c r="AL181" i="12"/>
  <c r="AL180" i="12"/>
  <c r="AL179" i="12"/>
  <c r="AL178" i="12"/>
  <c r="AL177" i="12"/>
  <c r="AL176" i="12"/>
  <c r="AL175" i="12"/>
  <c r="AL174" i="12"/>
  <c r="AL173" i="12"/>
  <c r="AL172" i="12"/>
  <c r="AL171" i="12"/>
  <c r="AL170" i="12"/>
  <c r="AL169" i="12"/>
  <c r="AL168" i="12"/>
  <c r="AL167" i="12"/>
  <c r="AL166" i="12"/>
  <c r="AL165" i="12"/>
  <c r="AL164" i="12"/>
  <c r="AL163" i="12"/>
  <c r="AL162" i="12"/>
  <c r="AL161" i="12"/>
  <c r="AL160" i="12"/>
  <c r="AL159" i="12"/>
  <c r="AL158" i="12"/>
  <c r="AL157" i="12"/>
  <c r="AL156" i="12"/>
  <c r="AL155" i="12"/>
  <c r="AL154" i="12"/>
  <c r="AL153" i="12"/>
  <c r="AL152" i="12"/>
  <c r="AL151" i="12"/>
  <c r="AL150" i="12"/>
  <c r="AL149" i="12"/>
  <c r="AL148" i="12"/>
  <c r="AL147" i="12"/>
  <c r="AL146" i="12"/>
  <c r="AL145" i="12"/>
  <c r="AL144" i="12"/>
  <c r="AL143" i="12"/>
  <c r="AL142" i="12"/>
  <c r="AL141" i="12"/>
  <c r="AL140" i="12"/>
  <c r="AL139" i="12"/>
  <c r="AL138" i="12"/>
  <c r="AL137" i="12"/>
  <c r="AL136" i="12"/>
  <c r="AL135" i="12"/>
  <c r="AL134" i="12"/>
  <c r="AL133" i="12"/>
  <c r="AL132" i="12"/>
  <c r="AL131" i="12"/>
  <c r="AL130" i="12"/>
  <c r="AL129" i="12"/>
  <c r="AL128" i="12"/>
  <c r="AL127" i="12"/>
  <c r="AL126" i="12"/>
  <c r="AL125" i="12"/>
  <c r="AL124" i="12"/>
  <c r="AL123" i="12"/>
  <c r="AL122" i="12"/>
  <c r="AL121" i="12"/>
  <c r="AL120" i="12"/>
  <c r="AL119" i="12"/>
  <c r="AL118" i="12"/>
  <c r="AL117" i="12"/>
  <c r="AL116" i="12"/>
  <c r="AL115" i="12"/>
  <c r="AL114" i="12"/>
  <c r="AL113" i="12"/>
  <c r="AL112" i="12"/>
  <c r="AL111" i="12"/>
  <c r="AL110" i="12"/>
  <c r="AL109" i="12"/>
  <c r="AL108" i="12"/>
  <c r="AL107" i="12"/>
  <c r="AL106" i="12"/>
  <c r="AL105" i="12"/>
  <c r="AL104" i="12"/>
  <c r="AL103" i="12"/>
  <c r="AL102" i="12"/>
  <c r="AL101" i="12"/>
  <c r="AL100" i="12"/>
  <c r="AL99" i="12"/>
  <c r="AL98" i="12"/>
  <c r="AL97" i="12"/>
  <c r="AL96" i="12"/>
  <c r="AL95" i="12"/>
  <c r="AL94" i="12"/>
  <c r="AL93" i="12"/>
  <c r="AL92" i="12"/>
  <c r="AL91" i="12"/>
  <c r="AL90" i="12"/>
  <c r="AL89" i="12"/>
  <c r="AL88" i="12"/>
  <c r="AL87" i="12"/>
  <c r="AL86" i="12"/>
  <c r="AL85" i="12"/>
  <c r="AL84" i="12"/>
  <c r="AL83" i="12"/>
  <c r="AL82" i="12"/>
  <c r="AL81" i="12"/>
  <c r="AL80" i="12"/>
  <c r="AL79" i="12"/>
  <c r="AL78" i="12"/>
  <c r="AL77" i="12"/>
  <c r="AL76" i="12"/>
  <c r="AL75" i="12"/>
  <c r="AL74" i="12"/>
  <c r="AL73" i="12"/>
  <c r="AL72" i="12"/>
  <c r="AL71" i="12"/>
  <c r="AL70" i="12"/>
  <c r="AL69" i="12"/>
  <c r="AL68" i="12"/>
  <c r="AL67" i="12"/>
  <c r="AL66" i="12"/>
  <c r="AL65" i="12"/>
  <c r="AL64" i="12"/>
  <c r="AL63" i="12"/>
  <c r="AL62" i="12"/>
  <c r="AL61" i="12"/>
  <c r="AL60" i="12"/>
  <c r="AL59" i="12"/>
  <c r="AL58" i="12"/>
  <c r="AL57" i="12"/>
  <c r="AL56" i="12"/>
  <c r="AL55" i="12"/>
  <c r="AL54" i="12"/>
  <c r="AL53" i="12"/>
  <c r="AL52" i="12"/>
  <c r="AL51" i="12"/>
  <c r="AL50" i="12"/>
  <c r="AL49" i="12"/>
  <c r="AL48" i="12"/>
  <c r="AL47" i="12"/>
  <c r="AL46" i="12"/>
  <c r="AL45" i="12"/>
  <c r="AL44" i="12"/>
  <c r="AL43" i="12"/>
  <c r="AL42" i="12"/>
  <c r="AL41" i="12"/>
  <c r="AL40" i="12"/>
  <c r="AL39" i="12"/>
  <c r="AL38" i="12"/>
  <c r="AL37" i="12"/>
  <c r="AL36" i="12"/>
  <c r="AL35" i="12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L22" i="12"/>
  <c r="AL21" i="12"/>
  <c r="AL20" i="12"/>
  <c r="AL19" i="12"/>
  <c r="AL18" i="12"/>
  <c r="AL17" i="12"/>
  <c r="AL16" i="12"/>
  <c r="AL15" i="12"/>
  <c r="AL14" i="12"/>
  <c r="AL13" i="12"/>
  <c r="AL12" i="12"/>
  <c r="AL11" i="12"/>
  <c r="AL10" i="12"/>
  <c r="AL9" i="12"/>
  <c r="AL8" i="12"/>
  <c r="AL7" i="12"/>
  <c r="N11" i="10"/>
  <c r="O10" i="10"/>
  <c r="C29" i="10"/>
  <c r="C28" i="10"/>
  <c r="L26" i="13"/>
  <c r="K26" i="13"/>
  <c r="J26" i="13"/>
  <c r="I26" i="13"/>
  <c r="I10" i="10" s="1"/>
  <c r="H26" i="13"/>
  <c r="G26" i="13"/>
  <c r="F26" i="13"/>
  <c r="E26" i="13"/>
  <c r="D26" i="13"/>
  <c r="C26" i="13"/>
  <c r="L13" i="13"/>
  <c r="K13" i="13"/>
  <c r="J13" i="13"/>
  <c r="I13" i="13"/>
  <c r="H13" i="13"/>
  <c r="G13" i="13"/>
  <c r="F13" i="13"/>
  <c r="E13" i="13"/>
  <c r="D13" i="13"/>
  <c r="C13" i="13"/>
  <c r="E214" i="12"/>
  <c r="D221" i="12"/>
  <c r="AJ212" i="12"/>
  <c r="AI212" i="12"/>
  <c r="AH212" i="12"/>
  <c r="AG212" i="12"/>
  <c r="AF212" i="12"/>
  <c r="AE212" i="12"/>
  <c r="AD212" i="12"/>
  <c r="AC212" i="12"/>
  <c r="AB212" i="12"/>
  <c r="AA212" i="12"/>
  <c r="Z212" i="12"/>
  <c r="Y212" i="12"/>
  <c r="X212" i="12"/>
  <c r="W212" i="12"/>
  <c r="V212" i="12"/>
  <c r="T212" i="12"/>
  <c r="S212" i="12"/>
  <c r="R212" i="12"/>
  <c r="Q212" i="12"/>
  <c r="P212" i="12"/>
  <c r="O212" i="12"/>
  <c r="N212" i="12"/>
  <c r="M212" i="12"/>
  <c r="L212" i="12"/>
  <c r="J212" i="12"/>
  <c r="I212" i="12"/>
  <c r="H212" i="12"/>
  <c r="G212" i="12"/>
  <c r="F212" i="12"/>
  <c r="U204" i="12"/>
  <c r="U203" i="12"/>
  <c r="K203" i="12"/>
  <c r="U202" i="12"/>
  <c r="K202" i="12"/>
  <c r="U201" i="12"/>
  <c r="K201" i="12"/>
  <c r="U200" i="12"/>
  <c r="K200" i="12"/>
  <c r="U199" i="12"/>
  <c r="K199" i="12"/>
  <c r="U198" i="12"/>
  <c r="K198" i="12"/>
  <c r="U197" i="12"/>
  <c r="K197" i="12"/>
  <c r="U196" i="12"/>
  <c r="K196" i="12"/>
  <c r="U195" i="12"/>
  <c r="K195" i="12"/>
  <c r="U194" i="12"/>
  <c r="U193" i="12"/>
  <c r="K193" i="12"/>
  <c r="U192" i="12"/>
  <c r="U191" i="12"/>
  <c r="K191" i="12"/>
  <c r="U190" i="12"/>
  <c r="K190" i="12"/>
  <c r="U189" i="12"/>
  <c r="K189" i="12"/>
  <c r="U188" i="12"/>
  <c r="K188" i="12"/>
  <c r="U187" i="12"/>
  <c r="K187" i="12"/>
  <c r="U186" i="12"/>
  <c r="K186" i="12"/>
  <c r="U185" i="12"/>
  <c r="K185" i="12"/>
  <c r="U184" i="12"/>
  <c r="K184" i="12"/>
  <c r="U183" i="12"/>
  <c r="K183" i="12"/>
  <c r="U182" i="12"/>
  <c r="K182" i="12"/>
  <c r="U181" i="12"/>
  <c r="K181" i="12"/>
  <c r="U180" i="12"/>
  <c r="K180" i="12"/>
  <c r="U179" i="12"/>
  <c r="K179" i="12"/>
  <c r="U178" i="12"/>
  <c r="K178" i="12"/>
  <c r="U177" i="12"/>
  <c r="K177" i="12"/>
  <c r="U176" i="12"/>
  <c r="K176" i="12"/>
  <c r="U175" i="12"/>
  <c r="I41" i="11"/>
  <c r="H41" i="11"/>
  <c r="G41" i="11"/>
  <c r="F41" i="11"/>
  <c r="E41" i="11"/>
  <c r="D41" i="11"/>
  <c r="C41" i="11"/>
  <c r="AL212" i="12" l="1"/>
  <c r="U159" i="12" l="1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E212" i="12"/>
  <c r="D20" i="14"/>
  <c r="C20" i="14"/>
  <c r="C30" i="6" l="1"/>
  <c r="C29" i="6"/>
  <c r="C62" i="7"/>
  <c r="C63" i="7"/>
  <c r="D46" i="8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33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C32" i="6" l="1"/>
  <c r="C75" i="7"/>
  <c r="U124" i="12"/>
  <c r="U125" i="12"/>
  <c r="U126" i="12"/>
  <c r="U127" i="12"/>
  <c r="U128" i="12"/>
  <c r="U129" i="12"/>
  <c r="U130" i="12"/>
  <c r="U131" i="12"/>
  <c r="U132" i="12"/>
  <c r="U133" i="12"/>
  <c r="U134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D27" i="8" l="1"/>
  <c r="D21" i="8"/>
  <c r="D48" i="8" l="1"/>
  <c r="C35" i="7"/>
  <c r="C25" i="6"/>
  <c r="C26" i="6"/>
  <c r="C24" i="6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K109" i="12"/>
  <c r="K110" i="12"/>
  <c r="K111" i="12"/>
  <c r="K112" i="12"/>
  <c r="K113" i="12"/>
  <c r="K114" i="12"/>
  <c r="K115" i="12"/>
  <c r="K116" i="12"/>
  <c r="K117" i="12"/>
  <c r="K118" i="12"/>
  <c r="AK212" i="12"/>
  <c r="D100" i="12" l="1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D84" i="12"/>
  <c r="F29" i="15" l="1"/>
  <c r="C29" i="15"/>
  <c r="I14" i="15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C38" i="7" s="1"/>
  <c r="U73" i="12"/>
  <c r="U74" i="12"/>
  <c r="U75" i="12"/>
  <c r="U76" i="12"/>
  <c r="U77" i="12"/>
  <c r="I29" i="15" l="1"/>
  <c r="K7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C46" i="7"/>
  <c r="D29" i="8"/>
  <c r="K45" i="12"/>
  <c r="D56" i="8" l="1"/>
  <c r="L38" i="8"/>
  <c r="L16" i="8"/>
  <c r="L77" i="7"/>
  <c r="L14" i="7"/>
  <c r="L63" i="6"/>
  <c r="L21" i="6"/>
  <c r="L38" i="6"/>
  <c r="L27" i="6"/>
  <c r="L16" i="6"/>
  <c r="L58" i="8" l="1"/>
  <c r="H27" i="6"/>
  <c r="H51" i="6"/>
  <c r="H16" i="6"/>
  <c r="H40" i="6" l="1"/>
  <c r="H53" i="6" s="1"/>
  <c r="H56" i="6" s="1"/>
  <c r="D10" i="6"/>
  <c r="K30" i="12"/>
  <c r="K29" i="12"/>
  <c r="D10" i="12"/>
  <c r="C10" i="12"/>
  <c r="D8" i="12"/>
  <c r="C8" i="12"/>
  <c r="C27" i="15" l="1"/>
  <c r="C69" i="7" l="1"/>
  <c r="H77" i="7" l="1"/>
  <c r="C26" i="15" s="1"/>
  <c r="C41" i="7" l="1"/>
  <c r="C37" i="7"/>
  <c r="D40" i="8"/>
  <c r="B18" i="10" l="1"/>
  <c r="K39" i="12"/>
  <c r="D9" i="8"/>
  <c r="K20" i="12"/>
  <c r="K12" i="12"/>
  <c r="U7" i="12"/>
  <c r="U212" i="12" s="1"/>
  <c r="L51" i="6"/>
  <c r="L40" i="6"/>
  <c r="H63" i="6"/>
  <c r="L53" i="6" l="1"/>
  <c r="L56" i="6" s="1"/>
  <c r="K46" i="12"/>
  <c r="I36" i="15"/>
  <c r="I37" i="15" s="1"/>
  <c r="L37" i="15" s="1"/>
  <c r="C37" i="6"/>
  <c r="D38" i="6" s="1"/>
  <c r="C20" i="6"/>
  <c r="D27" i="6"/>
  <c r="K212" i="12" l="1"/>
  <c r="F214" i="12" s="1"/>
  <c r="C14" i="14"/>
  <c r="D14" i="14"/>
  <c r="D10" i="14"/>
  <c r="C10" i="14"/>
  <c r="C13" i="6" l="1"/>
  <c r="C19" i="6"/>
  <c r="D21" i="6" s="1"/>
  <c r="C14" i="6"/>
  <c r="C50" i="6"/>
  <c r="H38" i="8" l="1"/>
  <c r="H16" i="8"/>
  <c r="H58" i="8" s="1"/>
  <c r="C28" i="15" s="1"/>
  <c r="H14" i="7"/>
  <c r="C25" i="15" s="1"/>
  <c r="C30" i="15" l="1"/>
  <c r="H81" i="7"/>
  <c r="C10" i="10" l="1"/>
  <c r="D23" i="14"/>
  <c r="C15" i="6"/>
  <c r="D16" i="6" s="1"/>
  <c r="D40" i="6" s="1"/>
  <c r="C10" i="7"/>
  <c r="C11" i="7"/>
  <c r="C16" i="7"/>
  <c r="C22" i="7"/>
  <c r="C25" i="7"/>
  <c r="C28" i="7"/>
  <c r="C48" i="7"/>
  <c r="C43" i="7"/>
  <c r="C50" i="7"/>
  <c r="C52" i="7"/>
  <c r="C59" i="7"/>
  <c r="D79" i="7"/>
  <c r="D18" i="8"/>
  <c r="B19" i="10"/>
  <c r="O19" i="10"/>
  <c r="I19" i="10"/>
  <c r="N18" i="10"/>
  <c r="N19" i="10" s="1"/>
  <c r="H18" i="10"/>
  <c r="H19" i="10" s="1"/>
  <c r="C19" i="10"/>
  <c r="Q13" i="10"/>
  <c r="K13" i="10"/>
  <c r="E13" i="10"/>
  <c r="D16" i="8"/>
  <c r="P75" i="7"/>
  <c r="P43" i="7"/>
  <c r="P42" i="7"/>
  <c r="P41" i="7"/>
  <c r="P40" i="7"/>
  <c r="P39" i="7"/>
  <c r="P36" i="7"/>
  <c r="P35" i="7"/>
  <c r="P25" i="7"/>
  <c r="P22" i="7"/>
  <c r="P18" i="7"/>
  <c r="P10" i="7"/>
  <c r="Q14" i="7"/>
  <c r="Q51" i="6"/>
  <c r="P29" i="6"/>
  <c r="Q38" i="6" s="1"/>
  <c r="P26" i="6"/>
  <c r="P24" i="6"/>
  <c r="Q27" i="6" s="1"/>
  <c r="Q16" i="6"/>
  <c r="Q63" i="6"/>
  <c r="Q21" i="6"/>
  <c r="Q10" i="6"/>
  <c r="I20" i="10" l="1"/>
  <c r="I8" i="15" s="1"/>
  <c r="C47" i="6"/>
  <c r="F27" i="15"/>
  <c r="I27" i="15" s="1"/>
  <c r="D58" i="8"/>
  <c r="F28" i="15" s="1"/>
  <c r="O20" i="10"/>
  <c r="Q77" i="7"/>
  <c r="Q81" i="7" s="1"/>
  <c r="D77" i="7"/>
  <c r="C23" i="14"/>
  <c r="D24" i="14" s="1"/>
  <c r="N12" i="10"/>
  <c r="Q40" i="6"/>
  <c r="Q53" i="6" s="1"/>
  <c r="Q56" i="6" s="1"/>
  <c r="C35" i="10"/>
  <c r="H11" i="10"/>
  <c r="H12" i="10" s="1"/>
  <c r="C12" i="10"/>
  <c r="C20" i="10"/>
  <c r="D14" i="7"/>
  <c r="I15" i="15" l="1"/>
  <c r="C27" i="10"/>
  <c r="C31" i="10" s="1"/>
  <c r="I7" i="15"/>
  <c r="I28" i="15"/>
  <c r="I12" i="10"/>
  <c r="I13" i="10" s="1"/>
  <c r="I9" i="15"/>
  <c r="C48" i="6"/>
  <c r="F11" i="15"/>
  <c r="B31" i="10"/>
  <c r="C46" i="6"/>
  <c r="F26" i="15"/>
  <c r="I26" i="15" s="1"/>
  <c r="C45" i="6"/>
  <c r="F25" i="15"/>
  <c r="I25" i="15" s="1"/>
  <c r="O12" i="10"/>
  <c r="O13" i="10" s="1"/>
  <c r="D81" i="7"/>
  <c r="I11" i="15" l="1"/>
  <c r="I12" i="15" s="1"/>
  <c r="F30" i="15"/>
  <c r="I30" i="15"/>
  <c r="L30" i="15" s="1"/>
  <c r="C32" i="10"/>
  <c r="D51" i="6"/>
  <c r="D53" i="6" l="1"/>
  <c r="D56" i="6" s="1"/>
  <c r="D66" i="6" s="1"/>
  <c r="B11" i="10" l="1"/>
  <c r="B12" i="10" s="1"/>
  <c r="C13" i="10" s="1"/>
  <c r="F215" i="12"/>
  <c r="C36" i="10" l="1"/>
  <c r="I16" i="15" l="1"/>
  <c r="I17" i="15" s="1"/>
  <c r="L17" i="15" s="1"/>
  <c r="C37" i="10"/>
  <c r="L41" i="15" l="1"/>
</calcChain>
</file>

<file path=xl/comments1.xml><?xml version="1.0" encoding="utf-8"?>
<comments xmlns="http://schemas.openxmlformats.org/spreadsheetml/2006/main">
  <authors>
    <author>Weaverham P.Council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Review Contributions</t>
        </r>
      </text>
    </comment>
  </commentList>
</comments>
</file>

<file path=xl/comments2.xml><?xml version="1.0" encoding="utf-8"?>
<comments xmlns="http://schemas.openxmlformats.org/spreadsheetml/2006/main">
  <authors>
    <author>Weaverham Parish Council</author>
  </authors>
  <commentList>
    <comment ref="A11" authorId="0">
      <text>
        <r>
          <rPr>
            <sz val="10"/>
            <color indexed="81"/>
            <rFont val="Tahoma"/>
            <family val="2"/>
          </rPr>
          <t>12.8% of earnings over £100/wk</t>
        </r>
      </text>
    </comment>
  </commentList>
</comments>
</file>

<file path=xl/sharedStrings.xml><?xml version="1.0" encoding="utf-8"?>
<sst xmlns="http://schemas.openxmlformats.org/spreadsheetml/2006/main" count="847" uniqueCount="468">
  <si>
    <t>Weaverham Parish Council</t>
  </si>
  <si>
    <t>VAT</t>
  </si>
  <si>
    <t>Cheshire A/c</t>
  </si>
  <si>
    <t>Photocopier Rental</t>
  </si>
  <si>
    <t>Interest Received</t>
  </si>
  <si>
    <t>Room Hire</t>
  </si>
  <si>
    <t>Mowing</t>
  </si>
  <si>
    <t>Budget</t>
  </si>
  <si>
    <t>2009/10</t>
  </si>
  <si>
    <t>£</t>
  </si>
  <si>
    <t>REVENUE</t>
  </si>
  <si>
    <t>Precept</t>
  </si>
  <si>
    <t>Refunds Received</t>
  </si>
  <si>
    <t>VAT Refunds</t>
  </si>
  <si>
    <t>Receipts: Lake House Field</t>
  </si>
  <si>
    <t>Car Boot Sales, Dog Show &amp; Corvettes</t>
  </si>
  <si>
    <t>Fairs &amp; Circuses</t>
  </si>
  <si>
    <t>Football &amp; Rugby Teams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</si>
  <si>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</si>
  <si>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</si>
  <si>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</si>
  <si>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</si>
  <si>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</si>
  <si>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</si>
  <si>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</si>
  <si>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SURPLUS INCOME/ (SHORTFALL)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</si>
  <si>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</si>
  <si>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</si>
  <si>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</si>
  <si>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</si>
  <si>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</si>
  <si>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</si>
  <si>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</si>
  <si>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>Contingency for Sickness</t>
  </si>
  <si>
    <t>STAFF</t>
  </si>
  <si>
    <t xml:space="preserve">Mileage &amp; Travelling Expenses </t>
  </si>
  <si>
    <t>Training &amp; Conferences</t>
  </si>
  <si>
    <t>Subscriptions</t>
  </si>
  <si>
    <t>Insurances</t>
  </si>
  <si>
    <t>Parish Council</t>
  </si>
  <si>
    <t>Rent &amp; Rates</t>
  </si>
  <si>
    <t>Rent</t>
  </si>
  <si>
    <t>Council Tax</t>
  </si>
  <si>
    <t>General Office Costs</t>
  </si>
  <si>
    <t>Telephone, Fax &amp; Internet</t>
  </si>
  <si>
    <t>Anti-Virus Software Subscription Renewal</t>
  </si>
  <si>
    <t>Printer Cartridges</t>
  </si>
  <si>
    <t>Equipment Purchases</t>
  </si>
  <si>
    <t>Repairs &amp; Software Upgrade</t>
  </si>
  <si>
    <t>Paper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</si>
  <si>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</si>
  <si>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</si>
  <si>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</si>
  <si>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</si>
  <si>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</si>
  <si>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</si>
  <si>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</si>
  <si>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</si>
  <si>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CCTV</t>
  </si>
  <si>
    <t>Annual Service Fee</t>
  </si>
  <si>
    <t>Provision to replace</t>
  </si>
  <si>
    <t>Contingencies</t>
  </si>
  <si>
    <t>General Administration Contingency</t>
  </si>
  <si>
    <t>Youth Leader Funding</t>
  </si>
  <si>
    <t>ADMINISTRATION</t>
  </si>
  <si>
    <t>COMMUNITY POOL</t>
  </si>
  <si>
    <t>Treatment on Lakehouse Field</t>
  </si>
  <si>
    <t>Christmas Arrangements</t>
  </si>
  <si>
    <t>Trees &amp; Decorations</t>
  </si>
  <si>
    <t>Best Decorated Christmas House Prize Money</t>
  </si>
  <si>
    <t>ROSPA Inspection</t>
  </si>
  <si>
    <t>Lake House Field Upkeep</t>
  </si>
  <si>
    <t>Russet Road Play Park</t>
  </si>
  <si>
    <t>Flower Beds (RRPP, Lime Ave &amp; Pinfold)</t>
  </si>
  <si>
    <t>Provision for plants and bulbs</t>
  </si>
  <si>
    <t>Plantation Fencing Repairs</t>
  </si>
  <si>
    <t>Doctors' Car Park</t>
  </si>
  <si>
    <t>Entrance Fees</t>
  </si>
  <si>
    <t>Other Costs</t>
  </si>
  <si>
    <t>Tree Survey/Surgery</t>
  </si>
  <si>
    <t>Environmental Contingency</t>
  </si>
  <si>
    <t>Actual</t>
  </si>
  <si>
    <t>ENVIORNMENTAL CAPITAL EXPENDITURE</t>
  </si>
  <si>
    <t>Community Pride Competition</t>
  </si>
  <si>
    <t>Website</t>
  </si>
  <si>
    <t>Staff</t>
  </si>
  <si>
    <t>Administration</t>
  </si>
  <si>
    <t>Community Pool</t>
  </si>
  <si>
    <t>Environment</t>
  </si>
  <si>
    <t>P2</t>
  </si>
  <si>
    <t>P3</t>
  </si>
  <si>
    <t>Remembrance Service &amp; Parade</t>
  </si>
  <si>
    <t>Prizes for Competition</t>
  </si>
  <si>
    <t>Weaverham High School Prizes</t>
  </si>
  <si>
    <t>Wallerscote Community School (Use of)</t>
  </si>
  <si>
    <t>Royal British Legion Poppy Appeal</t>
  </si>
  <si>
    <t>Royal British Legion Weaverham Branch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</si>
  <si>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</si>
  <si>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</si>
  <si>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</si>
  <si>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</si>
  <si>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</si>
  <si>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</si>
  <si>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</si>
  <si>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</si>
  <si>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</si>
  <si>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</si>
  <si>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</si>
  <si>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</si>
  <si>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</si>
  <si>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</si>
  <si>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</si>
  <si>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Deposit A/c</t>
  </si>
  <si>
    <t>Government Bond</t>
  </si>
  <si>
    <t>Chairman: _________________________________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</si>
  <si>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</si>
  <si>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</si>
  <si>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</si>
  <si>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</si>
  <si>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</si>
  <si>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</si>
  <si>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</si>
  <si>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</si>
  <si>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</si>
  <si>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</si>
  <si>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</si>
  <si>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</si>
  <si>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</si>
  <si>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</si>
  <si>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INT TFR</t>
  </si>
  <si>
    <t>Payroll</t>
  </si>
  <si>
    <t>Emp'ers</t>
  </si>
  <si>
    <t>Exp's</t>
  </si>
  <si>
    <t>Payroll &amp; Exps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</si>
  <si>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</si>
  <si>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</si>
  <si>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</si>
  <si>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</si>
  <si>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</si>
  <si>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</si>
  <si>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</si>
  <si>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</si>
  <si>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</si>
  <si>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Total Admin</t>
  </si>
  <si>
    <t>Audit</t>
  </si>
  <si>
    <t>W'Ham News</t>
  </si>
  <si>
    <t>Donations</t>
  </si>
  <si>
    <t>JCC</t>
  </si>
  <si>
    <t>Pool Cont</t>
  </si>
  <si>
    <t>Safety &amp; Cleansing</t>
  </si>
  <si>
    <t>Weed Ctrl</t>
  </si>
  <si>
    <t>Hedges</t>
  </si>
  <si>
    <t>MOSI</t>
  </si>
  <si>
    <t>Beds Maint</t>
  </si>
  <si>
    <t>Total Contractors</t>
  </si>
  <si>
    <t>RoSPA</t>
  </si>
  <si>
    <t>Com. Pride</t>
  </si>
  <si>
    <t>DD</t>
  </si>
  <si>
    <t>CPRE</t>
  </si>
  <si>
    <t>Summary of Activity (Deposit A/c's)</t>
  </si>
  <si>
    <t>Summary of Internal Transfers</t>
  </si>
  <si>
    <t>DR</t>
  </si>
  <si>
    <t>CR</t>
  </si>
  <si>
    <t>Santander Current A/c</t>
  </si>
  <si>
    <t>Santander Deposit A/c</t>
  </si>
  <si>
    <t>Bottom Pitch Land</t>
  </si>
  <si>
    <t>Santander A/c:</t>
  </si>
  <si>
    <t>Weaverham Community Association</t>
  </si>
  <si>
    <t>2015/16</t>
  </si>
  <si>
    <t>CWAC New Homes Bonus</t>
  </si>
  <si>
    <t>CWAC Members' Budget (Pkg Improvements)</t>
  </si>
  <si>
    <t>Nationwide A/c:</t>
  </si>
  <si>
    <t>Nationwide Deposit A/c</t>
  </si>
  <si>
    <t>Digital Mapping (Software &amp; Training)</t>
  </si>
  <si>
    <t>Defibrilator</t>
  </si>
  <si>
    <t>Grass Verge &amp; Parking Improvement Provision</t>
  </si>
  <si>
    <t>ENVIRONMENT</t>
  </si>
  <si>
    <t>Unspent Budget</t>
  </si>
  <si>
    <t>Breakdown of Balances</t>
  </si>
  <si>
    <t>OF WHICH:</t>
  </si>
  <si>
    <t>Cheshire West Funds Re: Grass Verge &amp; Parking Improvement Scheme</t>
  </si>
  <si>
    <t>TRUE RESERVE FUNDS</t>
  </si>
  <si>
    <t xml:space="preserve">Less Payments </t>
  </si>
  <si>
    <t xml:space="preserve">Plus Receipts </t>
  </si>
  <si>
    <t xml:space="preserve">Local Authorities must hold between 6 and 12 month's worth of expenditure in reserves </t>
  </si>
  <si>
    <t>Revenue Summary - 2016/17</t>
  </si>
  <si>
    <t>2016/17</t>
  </si>
  <si>
    <t>Administration Expenditure - 2016/17</t>
  </si>
  <si>
    <t>Pension</t>
  </si>
  <si>
    <t>Environment Operations - 2016/17</t>
  </si>
  <si>
    <t>Total Balance B/fwd @ 1stApril 2016</t>
  </si>
  <si>
    <t>2016/17 - Unspent Budgeted Expenditure</t>
  </si>
  <si>
    <t>Total Balance B/fwd @ 1st April 2016</t>
  </si>
  <si>
    <t>Interest-National Savings Inv Bond</t>
  </si>
  <si>
    <t>2016/17 CWAC Precept</t>
  </si>
  <si>
    <t>VAT repayment</t>
  </si>
  <si>
    <t>Cheque deposit-Cubbins Fair</t>
  </si>
  <si>
    <t>J S Stockton</t>
  </si>
  <si>
    <t>Reimbursement of 1&amp;1 WebsiteBuilder Plus fees</t>
  </si>
  <si>
    <t>Woodland Trust</t>
  </si>
  <si>
    <t>2016/17 Subscription</t>
  </si>
  <si>
    <t>Weaverham Hardware Ltd</t>
  </si>
  <si>
    <t>Padlocks, keys, WD40</t>
  </si>
  <si>
    <t>Room Hire-March</t>
  </si>
  <si>
    <t>Mid-Cheshire Grounds Maintenance Ltd</t>
  </si>
  <si>
    <t>LHF-Bonfire debis removal</t>
  </si>
  <si>
    <t>RRPP-removal of broken glass and graffiti</t>
  </si>
  <si>
    <t>LHF-double roll &amp; spike</t>
  </si>
  <si>
    <t xml:space="preserve">Owley Wood BP Scout Group </t>
  </si>
  <si>
    <t>2016/17 Donation</t>
  </si>
  <si>
    <t>1st Weaverham Sea Scout Group</t>
  </si>
  <si>
    <t>Weaverham Community Memorial Orchard</t>
  </si>
  <si>
    <t>Weaverham Gymnastics Club</t>
  </si>
  <si>
    <t>St Mary's PCC</t>
  </si>
  <si>
    <t>Weaverham Community Youth Football Club</t>
  </si>
  <si>
    <t>Weaverham Community Youth Centre</t>
  </si>
  <si>
    <t>Friends of Owley Wood</t>
  </si>
  <si>
    <t>Weaverham Rose Fete Committee</t>
  </si>
  <si>
    <t>Owley Wood Recreation Club</t>
  </si>
  <si>
    <t>Viking Ltd</t>
  </si>
  <si>
    <t>Stamps and printer ink</t>
  </si>
  <si>
    <t>HM Revenue &amp; Customs</t>
  </si>
  <si>
    <t>Statutory Deductions E'e and E'r-J S Stockton</t>
  </si>
  <si>
    <t>Net pay-April 2016</t>
  </si>
  <si>
    <t>Youth</t>
  </si>
  <si>
    <t>Elections 2016</t>
  </si>
  <si>
    <t>General Repairs &amp; Improvements</t>
  </si>
  <si>
    <t>Bonfire misc. sales</t>
  </si>
  <si>
    <t>Maintenance Contracts Costs</t>
  </si>
  <si>
    <t>Repairs to Fences &amp; Field &amp; Upkeep</t>
  </si>
  <si>
    <t>Internal transfer-precept cash</t>
  </si>
  <si>
    <t>TFR Precept to Nationwide Deposit A/c</t>
  </si>
  <si>
    <t>TFR Precept from Santander Current A/c</t>
  </si>
  <si>
    <t>Car boot sale-rent</t>
  </si>
  <si>
    <t>Refund from Community Centre re MCGM invoice</t>
  </si>
  <si>
    <t>Kennel Club</t>
  </si>
  <si>
    <t>ChALC</t>
  </si>
  <si>
    <t>Mid-Cheshire Grounds Maintenance</t>
  </si>
  <si>
    <t>JDH Business Services Ltd</t>
  </si>
  <si>
    <t>Other misc. receipts</t>
  </si>
  <si>
    <t>Playsafety Ltd</t>
  </si>
  <si>
    <t>Annual Inspection</t>
  </si>
  <si>
    <t>Fineswim Ltd</t>
  </si>
  <si>
    <t>Monthly service fee-April</t>
  </si>
  <si>
    <t>Claymore Business Machines Ltd</t>
  </si>
  <si>
    <t>Photocopying Sevices</t>
  </si>
  <si>
    <t>Reimbursement of 1&amp;1  WebsiteBuilder Plus fees</t>
  </si>
  <si>
    <t>Dog Show Licence</t>
  </si>
  <si>
    <t>OPAL (Talk Talk Business)</t>
  </si>
  <si>
    <t>01606 854451, phoneline and internet</t>
  </si>
  <si>
    <t>Mid-Cheshire Footpath Society</t>
  </si>
  <si>
    <t xml:space="preserve">April 2016 maintenance contracts </t>
  </si>
  <si>
    <t>BT Group PLC</t>
  </si>
  <si>
    <t>Premium e-mail service</t>
  </si>
  <si>
    <t xml:space="preserve">Nationwide </t>
  </si>
  <si>
    <t>Reimbursement of cost of Queen's Birthday banners</t>
  </si>
  <si>
    <t>Postage cost of new Parish map</t>
  </si>
  <si>
    <t>Room Hire x 3</t>
  </si>
  <si>
    <t>Net pay-May 2016</t>
  </si>
  <si>
    <t>Repairs to fencing-Plantation</t>
  </si>
  <si>
    <t>Internal Audit services 2015/16</t>
  </si>
  <si>
    <t>Monthly service fee-May</t>
  </si>
  <si>
    <t>Bonfire Volunteers' Donation</t>
  </si>
  <si>
    <t>Maps</t>
  </si>
  <si>
    <t>CW&amp;C Members Budget-grant towards Queen's Birthday Event</t>
  </si>
  <si>
    <t>CWAC Members' Budget (Queen's Birthday)</t>
  </si>
  <si>
    <t>Supply of new Parish Notice Board-Lime Avenue</t>
  </si>
  <si>
    <t>Repair to rocking toy (August 2015)</t>
  </si>
  <si>
    <t>May 2016-grounds maintenance contracts</t>
  </si>
  <si>
    <t>Reimbursement of 1&amp;1 basic fee and WebsiteBuilder Plus fees</t>
  </si>
  <si>
    <t>Refund of voluntary donation</t>
  </si>
  <si>
    <t>Queen's 90th birthday-Donkey rides</t>
  </si>
  <si>
    <t>Supplementary Donation to Rose Ffete</t>
  </si>
  <si>
    <t>Reimbursement  of costs re Queen's Birthday (flags, bunting,etc)</t>
  </si>
  <si>
    <t>Contribution to Queen's Birthday event-children's lunch boxes</t>
  </si>
  <si>
    <t>Singer-Queen's Birthday</t>
  </si>
  <si>
    <t>Organ player-Queen's Birthday</t>
  </si>
  <si>
    <t>Premium E-mail service</t>
  </si>
  <si>
    <t>Staging-Queen's birthday event</t>
  </si>
  <si>
    <t>Reimbursement  of costs re Queen's Birthday (flags, cake,etc)</t>
  </si>
  <si>
    <t>Office stapler</t>
  </si>
  <si>
    <t>Weaverham News (4page of 6)</t>
  </si>
  <si>
    <t>Office rent-2016/17</t>
  </si>
  <si>
    <t>Net pay-Jun 2016</t>
  </si>
  <si>
    <t>Erection &amp; dismantling of Christmas tree lights</t>
  </si>
  <si>
    <t>Purchase of refurbished photocopier</t>
  </si>
  <si>
    <t>Photocopying paper</t>
  </si>
  <si>
    <t>Balance due-firework display-Bonfire party 2016</t>
  </si>
  <si>
    <t>Settlement payment-afffilation fees</t>
  </si>
  <si>
    <t>Underpayment via bank-to be adjusted in July</t>
  </si>
  <si>
    <t>Monthly service fee-June 2016</t>
  </si>
  <si>
    <t>Whitehill Direct Ltd</t>
  </si>
  <si>
    <t>Thomas J Tuohy</t>
  </si>
  <si>
    <t>Gillian Edwards</t>
  </si>
  <si>
    <t>Julie A Scott</t>
  </si>
  <si>
    <t>Duncan Mallows</t>
  </si>
  <si>
    <t>BT Group plc</t>
  </si>
  <si>
    <t>Light The Way</t>
  </si>
  <si>
    <t xml:space="preserve">Graphish </t>
  </si>
  <si>
    <t>Weaver Horizons Ltd</t>
  </si>
  <si>
    <t>Claymore Business Services</t>
  </si>
  <si>
    <t>Nemisis Ltd</t>
  </si>
  <si>
    <t>FineSwim Ltd</t>
  </si>
  <si>
    <t>Cheque</t>
  </si>
  <si>
    <t>Adj</t>
  </si>
  <si>
    <t>Deposit-Precept cash-Nationwide BS</t>
  </si>
  <si>
    <t>Photocopier Purchase</t>
  </si>
  <si>
    <t>Village Signage (including notice boards)</t>
  </si>
  <si>
    <t>YOUTH</t>
  </si>
  <si>
    <t>Queeen's birthday celebration costs</t>
  </si>
  <si>
    <t xml:space="preserve">NOTE: £500  of Youth Committee budget used towards </t>
  </si>
  <si>
    <t>Queen's 90th birthday event (£500 of Youth budget used)</t>
  </si>
  <si>
    <t>Pinders Circus-deposit</t>
  </si>
  <si>
    <t>Soroptimists-car boot sale</t>
  </si>
  <si>
    <t>Dog Show entry fees</t>
  </si>
  <si>
    <t>Allotment rent</t>
  </si>
  <si>
    <t>Hire of LHF-Weaverham Community Football Club</t>
  </si>
  <si>
    <t>Mid-Cheshire Grounds Maintemance</t>
  </si>
  <si>
    <t>June 2016-grounds maintenance contracts</t>
  </si>
  <si>
    <t>Ashey Services (UK) Ltd</t>
  </si>
  <si>
    <t>Installation of Notice Board-Lime Avenue</t>
  </si>
  <si>
    <t>Photocopying Services</t>
  </si>
  <si>
    <t>Printer cartridges x 6</t>
  </si>
  <si>
    <t>Room Hire-May 2016</t>
  </si>
  <si>
    <t>University Primary Academy Weaverham</t>
  </si>
  <si>
    <t>Room Hire-January to July 2016</t>
  </si>
  <si>
    <t>Repairs to play park equipment</t>
  </si>
  <si>
    <t>Universal Security Group</t>
  </si>
  <si>
    <t>6 x Abus marine padlocks-bollards</t>
  </si>
  <si>
    <t>Room hire-June 2016</t>
  </si>
  <si>
    <t>Cheshire Community Action</t>
  </si>
  <si>
    <t>201/17 membership fee</t>
  </si>
  <si>
    <t>Net pay-July 2016</t>
  </si>
  <si>
    <t xml:space="preserve">HM Revenue &amp; Customs </t>
  </si>
  <si>
    <t>Correction of underpayment -June 2016</t>
  </si>
  <si>
    <t>2016/17 subscription</t>
  </si>
  <si>
    <t>Monthly service fee-July 2016</t>
  </si>
  <si>
    <t>Underpayment in July by bank-to be adjusted in August</t>
  </si>
  <si>
    <t>BDO LLP</t>
  </si>
  <si>
    <t>External Audit fees-2015/16</t>
  </si>
  <si>
    <t>Mid Cheshire Grounds Maintenance Ltd</t>
  </si>
  <si>
    <t>July 2016-grounds maintenance contracts</t>
  </si>
  <si>
    <t>Hedge cut-Russet Road play area</t>
  </si>
  <si>
    <t>Net pay-August 2016</t>
  </si>
  <si>
    <t>HMRC</t>
  </si>
  <si>
    <t>Correction of underpayment -July 2016</t>
  </si>
  <si>
    <t>Room Hire-July 2016</t>
  </si>
  <si>
    <t>Monthly service fee-August 2016</t>
  </si>
  <si>
    <t>Graphish</t>
  </si>
  <si>
    <t>Weaverham News (4 pages of 6)</t>
  </si>
  <si>
    <t>Aug 2016-grounds maintenance contracts</t>
  </si>
  <si>
    <t>Nemisis Pyrotechnics Ltd</t>
  </si>
  <si>
    <t>VAT due on firework diplay</t>
  </si>
  <si>
    <t>Weaverham High School</t>
  </si>
  <si>
    <t>Voluntary Donation-Prizes</t>
  </si>
  <si>
    <t>Room Hire-August</t>
  </si>
  <si>
    <t>Net pay-September 2016</t>
  </si>
  <si>
    <t>Stationery-A3 paper &amp; Post Its</t>
  </si>
  <si>
    <t>J Taylor</t>
  </si>
  <si>
    <t>Daffodil bulbs for planter-Northwich Road</t>
  </si>
  <si>
    <t>Monthly service fee-September 2016</t>
  </si>
  <si>
    <t>Nationwide A/c</t>
  </si>
  <si>
    <t>Notice Board Installation</t>
  </si>
  <si>
    <t>YTD @ 31/12/16</t>
  </si>
  <si>
    <t>Brownie Hut-arrears of rent to 2015</t>
  </si>
  <si>
    <t>Weaverham Community Centre</t>
  </si>
  <si>
    <t>Room hire-September 2016</t>
  </si>
  <si>
    <t>Youth Leader Funding 2016/17</t>
  </si>
  <si>
    <t>Net pay-October 2016</t>
  </si>
  <si>
    <t>Expenses-meeting re web site update</t>
  </si>
  <si>
    <t>Monthly Service Fee-October 2016</t>
  </si>
  <si>
    <t>Internal transfer-Santander current account</t>
  </si>
  <si>
    <t>Transfer from Nationwide Building Society</t>
  </si>
  <si>
    <t>Donation-Bonfire burger van</t>
  </si>
  <si>
    <t>Scorpio Signs Ltd</t>
  </si>
  <si>
    <t>Lighting and Illumination Technology Service Ltd</t>
  </si>
  <si>
    <t>MK Illumination Ltd</t>
  </si>
  <si>
    <t>RBL Poppy Appeal</t>
  </si>
  <si>
    <t>Weaverham RBL</t>
  </si>
  <si>
    <t>E Bland</t>
  </si>
  <si>
    <t>Value Products Ltd</t>
  </si>
  <si>
    <t>Joseph Noblett</t>
  </si>
  <si>
    <t>Marble Websites</t>
  </si>
  <si>
    <t>RRPP Signs</t>
  </si>
  <si>
    <t>Christmas tree lighting-5 columns-Northwich Road</t>
  </si>
  <si>
    <t>Christmas tree lighting-main tree-Northwich Road</t>
  </si>
  <si>
    <t>Keys, ties and warning tape</t>
  </si>
  <si>
    <t xml:space="preserve">Reimbursement of 1&amp;1 basic fee and WebsiteBuilder Plus fees </t>
  </si>
  <si>
    <t>Reimbursement of cost of fire blanket-Fire Protction On-line Ltd</t>
  </si>
  <si>
    <t>October 2016-grounds maintenance contracts</t>
  </si>
  <si>
    <t>Wreaths</t>
  </si>
  <si>
    <t>Refreshments-Rembrance Day service</t>
  </si>
  <si>
    <t>Copier charge</t>
  </si>
  <si>
    <t>Overpayment of Bonfire donation</t>
  </si>
  <si>
    <t>Room Hire-October 2016</t>
  </si>
  <si>
    <t>RRPP-Installation of signs</t>
  </si>
  <si>
    <t>Accident book</t>
  </si>
  <si>
    <t>Christmas trees</t>
  </si>
  <si>
    <t>Net pay-November 2016</t>
  </si>
  <si>
    <t>Weaverham News-December 2016 Edition</t>
  </si>
  <si>
    <t>Web site-redesign,deposit payment</t>
  </si>
  <si>
    <t>November 2016-grounds maintenance contracts</t>
  </si>
  <si>
    <t>RRPP Signs-replacement</t>
  </si>
  <si>
    <t>Monthly Service Fee-November 2016</t>
  </si>
  <si>
    <t>TFR to Santander Current A/c</t>
  </si>
  <si>
    <t>TFR from Nationwide Current A/c</t>
  </si>
  <si>
    <t>Bonfire Night Arrangements</t>
  </si>
  <si>
    <t>Northwich Town Council</t>
  </si>
  <si>
    <t>H.M.R.C.</t>
  </si>
  <si>
    <t>WEL  Medical Ltd</t>
  </si>
  <si>
    <t>Barrier Hire-Northwich Road Christmas tree</t>
  </si>
  <si>
    <t>Install Christmas trees, Lime Avenue, trim Christmas tree, N'wich Road</t>
  </si>
  <si>
    <t>6 x LED lighting strings-Christmas tree, Northwich Road</t>
  </si>
  <si>
    <t>Tap fittings re bonfire  water hose</t>
  </si>
  <si>
    <t>Reimbursement-travel expenses (Wem visit), web hosting x 2</t>
  </si>
  <si>
    <t>Web site redesign-balance of monies due</t>
  </si>
  <si>
    <t>Postage stamps</t>
  </si>
  <si>
    <t>Net pay-December 2016</t>
  </si>
  <si>
    <t>Printer cartridges x 5</t>
  </si>
  <si>
    <t>2016 Bonfire expenses</t>
  </si>
  <si>
    <t>Defibrillator cabinet</t>
  </si>
  <si>
    <t>Reimbursement of Internet security subscription</t>
  </si>
  <si>
    <t>Bonfire Volunteers' Donation (all used)</t>
  </si>
  <si>
    <t>PAT Testing</t>
  </si>
  <si>
    <t>Rose Fete Donation (additional)</t>
  </si>
  <si>
    <t>Insurance claim-signage</t>
  </si>
  <si>
    <t>Monthly Service Fee-December 2016</t>
  </si>
  <si>
    <t>December 2016-grounds maintenance contracts</t>
  </si>
  <si>
    <t>Stationery-copier paper,envelopes,date stamp</t>
  </si>
  <si>
    <t>Web hosting-Go Daddy and 1 and 1</t>
  </si>
  <si>
    <t>Room and toilet hire (bonfire)</t>
  </si>
  <si>
    <t xml:space="preserve">Weaverham, Cuddington &amp; Acton Bridge JCC </t>
  </si>
  <si>
    <t>Annual precept-2016.17</t>
  </si>
  <si>
    <t>Net pay-January 2017</t>
  </si>
  <si>
    <t>Queen's 90th birthday-50% share of CW&amp;C grant</t>
  </si>
  <si>
    <t>Room Hire-December 2016</t>
  </si>
  <si>
    <t>Staples</t>
  </si>
  <si>
    <t>Monthly Service Fee-January 2017</t>
  </si>
  <si>
    <t>January 2017-grounds maintenance contracts</t>
  </si>
  <si>
    <t>Net pay-February 2017</t>
  </si>
  <si>
    <t>Roundabout and defib</t>
  </si>
  <si>
    <t>Marblr Websites</t>
  </si>
  <si>
    <t>Website training</t>
  </si>
  <si>
    <t>room hire</t>
  </si>
  <si>
    <t>February 17 contract</t>
  </si>
  <si>
    <t>Information commissioner</t>
  </si>
  <si>
    <t>Data protection annual fee</t>
  </si>
  <si>
    <t>Ian Lassitter</t>
  </si>
  <si>
    <t>Monthly service fee - February 2017</t>
  </si>
  <si>
    <t>Newquest</t>
  </si>
  <si>
    <t>Clerks advert</t>
  </si>
  <si>
    <t>Casa Matta tree</t>
  </si>
  <si>
    <t>Graphsh</t>
  </si>
  <si>
    <t>Weaverham News</t>
  </si>
  <si>
    <t>Weaverham Community Ass</t>
  </si>
  <si>
    <t>Room hire</t>
  </si>
  <si>
    <t>Iain Lassiter</t>
  </si>
  <si>
    <t>Monthly service fee - March 2017</t>
  </si>
  <si>
    <t>Cheques unpresented @ 31st March 2017</t>
  </si>
  <si>
    <t>Balance as per statement @ 31/03/17</t>
  </si>
  <si>
    <t>Total Balance C/fwd to 1st April 2017</t>
  </si>
  <si>
    <t>Total Balances @ 31st March 2017</t>
  </si>
  <si>
    <t>Finance &amp; personel Committee Meeting - 3 April 2017</t>
  </si>
  <si>
    <t>Parish Council Meeting -  18 April 2017</t>
  </si>
  <si>
    <t>YTD @ 31/03/17</t>
  </si>
  <si>
    <t xml:space="preserve"> </t>
  </si>
  <si>
    <t>TOTAL BALANCES @ 31/03/17</t>
  </si>
  <si>
    <t>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</si>
</sst>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  <numFmt numFmtId="167" formatCode="#,##0.00_ ;\-#,##0.00\ "/>
  </numFmts>
  <fonts count="31" x14ac:knownFonts="1">
    <font>
      <sz val="10"/>
      <name val="Arial"/>
    </font>
    <font>
      <sz val="10"/>
      <name val="Arial"/>
      <family val="2"/>
    </font>
    <font>
      <sz val="10"/>
      <color indexed="81"/>
      <name val="Tahoma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8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  <font>
      <b/>
      <u val="singleAccounting"/>
      <sz val="12"/>
      <name val="Calibri"/>
      <family val="2"/>
    </font>
    <font>
      <u/>
      <sz val="12"/>
      <name val="Calibri"/>
      <family val="2"/>
    </font>
    <font>
      <u val="singleAccounting"/>
      <sz val="11"/>
      <name val="Calibri"/>
      <family val="2"/>
    </font>
    <font>
      <u val="singleAccounting"/>
      <sz val="12"/>
      <name val="Calibri"/>
      <family val="2"/>
    </font>
    <font>
      <b/>
      <u val="singleAccounting"/>
      <sz val="11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Accounting"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6" fillId="0" borderId="0" xfId="0" applyFont="1"/>
    <xf numFmtId="165" fontId="6" fillId="0" borderId="0" xfId="1" applyNumberFormat="1" applyFont="1"/>
    <xf numFmtId="43" fontId="3" fillId="0" borderId="0" xfId="1" applyFont="1" applyFill="1" applyAlignment="1"/>
    <xf numFmtId="43" fontId="8" fillId="0" borderId="0" xfId="1" applyFont="1" applyFill="1"/>
    <xf numFmtId="0" fontId="8" fillId="0" borderId="0" xfId="0" applyFont="1" applyFill="1"/>
    <xf numFmtId="0" fontId="8" fillId="0" borderId="0" xfId="0" applyFont="1"/>
    <xf numFmtId="165" fontId="9" fillId="0" borderId="0" xfId="1" applyNumberFormat="1" applyFont="1"/>
    <xf numFmtId="165" fontId="8" fillId="0" borderId="0" xfId="1" applyNumberFormat="1" applyFont="1" applyFill="1"/>
    <xf numFmtId="43" fontId="5" fillId="0" borderId="0" xfId="1" applyFont="1" applyFill="1" applyAlignment="1"/>
    <xf numFmtId="43" fontId="5" fillId="0" borderId="0" xfId="1" applyFont="1" applyFill="1"/>
    <xf numFmtId="0" fontId="5" fillId="0" borderId="0" xfId="0" applyFont="1" applyFill="1"/>
    <xf numFmtId="0" fontId="10" fillId="0" borderId="0" xfId="0" applyFont="1" applyFill="1"/>
    <xf numFmtId="0" fontId="11" fillId="0" borderId="0" xfId="0" applyFont="1"/>
    <xf numFmtId="165" fontId="12" fillId="0" borderId="0" xfId="1" applyNumberFormat="1" applyFont="1"/>
    <xf numFmtId="165" fontId="10" fillId="0" borderId="0" xfId="1" applyNumberFormat="1" applyFont="1" applyFill="1"/>
    <xf numFmtId="0" fontId="13" fillId="0" borderId="0" xfId="0" applyFont="1" applyFill="1"/>
    <xf numFmtId="43" fontId="13" fillId="0" borderId="0" xfId="1" applyFont="1" applyFill="1"/>
    <xf numFmtId="0" fontId="10" fillId="0" borderId="1" xfId="0" applyFont="1" applyFill="1" applyBorder="1"/>
    <xf numFmtId="165" fontId="14" fillId="0" borderId="1" xfId="1" applyNumberFormat="1" applyFont="1" applyBorder="1" applyAlignment="1">
      <alignment horizontal="center"/>
    </xf>
    <xf numFmtId="0" fontId="6" fillId="0" borderId="0" xfId="0" applyFont="1" applyFill="1" applyBorder="1"/>
    <xf numFmtId="43" fontId="6" fillId="0" borderId="0" xfId="1" applyFont="1" applyFill="1"/>
    <xf numFmtId="0" fontId="6" fillId="0" borderId="0" xfId="0" applyFont="1" applyFill="1"/>
    <xf numFmtId="0" fontId="10" fillId="0" borderId="1" xfId="0" applyFont="1" applyBorder="1"/>
    <xf numFmtId="0" fontId="10" fillId="0" borderId="0" xfId="0" applyFont="1"/>
    <xf numFmtId="165" fontId="14" fillId="0" borderId="1" xfId="1" quotePrefix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/>
    <xf numFmtId="165" fontId="14" fillId="0" borderId="0" xfId="1" applyNumberFormat="1" applyFont="1" applyBorder="1" applyAlignment="1">
      <alignment horizontal="center"/>
    </xf>
    <xf numFmtId="0" fontId="14" fillId="0" borderId="0" xfId="0" applyFont="1" applyFill="1"/>
    <xf numFmtId="165" fontId="14" fillId="0" borderId="0" xfId="1" applyNumberFormat="1" applyFont="1" applyFill="1"/>
    <xf numFmtId="165" fontId="14" fillId="0" borderId="0" xfId="1" applyNumberFormat="1" applyFont="1"/>
    <xf numFmtId="165" fontId="14" fillId="0" borderId="1" xfId="1" applyNumberFormat="1" applyFont="1" applyBorder="1"/>
    <xf numFmtId="0" fontId="15" fillId="0" borderId="0" xfId="0" applyFont="1" applyFill="1" applyBorder="1"/>
    <xf numFmtId="165" fontId="14" fillId="0" borderId="1" xfId="1" applyNumberFormat="1" applyFont="1" applyFill="1" applyBorder="1"/>
    <xf numFmtId="165" fontId="11" fillId="0" borderId="0" xfId="1" applyNumberFormat="1" applyFont="1"/>
    <xf numFmtId="165" fontId="12" fillId="0" borderId="1" xfId="1" applyNumberFormat="1" applyFont="1" applyBorder="1"/>
    <xf numFmtId="0" fontId="7" fillId="0" borderId="0" xfId="0" applyFont="1" applyFill="1" applyBorder="1"/>
    <xf numFmtId="165" fontId="10" fillId="0" borderId="1" xfId="1" applyNumberFormat="1" applyFont="1" applyFill="1" applyBorder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2" xfId="1" applyNumberFormat="1" applyFont="1" applyFill="1" applyBorder="1"/>
    <xf numFmtId="165" fontId="10" fillId="0" borderId="2" xfId="1" applyNumberFormat="1" applyFont="1" applyBorder="1"/>
    <xf numFmtId="165" fontId="10" fillId="0" borderId="0" xfId="1" applyNumberFormat="1" applyFont="1" applyBorder="1"/>
    <xf numFmtId="165" fontId="14" fillId="0" borderId="2" xfId="1" applyNumberFormat="1" applyFont="1" applyBorder="1"/>
    <xf numFmtId="165" fontId="14" fillId="0" borderId="0" xfId="1" applyNumberFormat="1" applyFont="1" applyBorder="1"/>
    <xf numFmtId="165" fontId="14" fillId="0" borderId="0" xfId="1" applyNumberFormat="1" applyFont="1" applyFill="1" applyBorder="1"/>
    <xf numFmtId="165" fontId="14" fillId="0" borderId="3" xfId="1" applyNumberFormat="1" applyFont="1" applyFill="1" applyBorder="1"/>
    <xf numFmtId="43" fontId="7" fillId="0" borderId="0" xfId="1" applyFont="1" applyFill="1"/>
    <xf numFmtId="0" fontId="7" fillId="0" borderId="0" xfId="0" applyFont="1" applyFill="1"/>
    <xf numFmtId="165" fontId="10" fillId="0" borderId="0" xfId="1" applyNumberFormat="1" applyFont="1" applyFill="1" applyBorder="1"/>
    <xf numFmtId="165" fontId="14" fillId="0" borderId="0" xfId="1" applyNumberFormat="1" applyFont="1" applyAlignment="1">
      <alignment horizontal="left"/>
    </xf>
    <xf numFmtId="165" fontId="10" fillId="0" borderId="0" xfId="1" applyNumberFormat="1" applyFont="1" applyBorder="1" applyAlignment="1">
      <alignment horizontal="left"/>
    </xf>
    <xf numFmtId="165" fontId="10" fillId="0" borderId="1" xfId="1" applyNumberFormat="1" applyFont="1" applyBorder="1" applyAlignment="1">
      <alignment horizontal="left"/>
    </xf>
    <xf numFmtId="0" fontId="14" fillId="0" borderId="0" xfId="0" applyFont="1" applyBorder="1"/>
    <xf numFmtId="165" fontId="14" fillId="0" borderId="4" xfId="1" applyNumberFormat="1" applyFont="1" applyBorder="1"/>
    <xf numFmtId="165" fontId="14" fillId="0" borderId="4" xfId="1" applyNumberFormat="1" applyFont="1" applyFill="1" applyBorder="1"/>
    <xf numFmtId="165" fontId="6" fillId="0" borderId="0" xfId="1" applyNumberFormat="1" applyFont="1" applyFill="1"/>
    <xf numFmtId="0" fontId="3" fillId="0" borderId="0" xfId="0" applyFont="1" applyFill="1"/>
    <xf numFmtId="165" fontId="5" fillId="0" borderId="0" xfId="1" applyNumberFormat="1" applyFont="1" applyFill="1" applyBorder="1"/>
    <xf numFmtId="0" fontId="14" fillId="0" borderId="5" xfId="0" applyFont="1" applyBorder="1"/>
    <xf numFmtId="0" fontId="10" fillId="0" borderId="5" xfId="0" applyFont="1" applyBorder="1"/>
    <xf numFmtId="165" fontId="6" fillId="0" borderId="0" xfId="1" applyNumberFormat="1" applyFont="1" applyFill="1" applyBorder="1"/>
    <xf numFmtId="165" fontId="10" fillId="0" borderId="5" xfId="1" applyNumberFormat="1" applyFont="1" applyBorder="1"/>
    <xf numFmtId="165" fontId="7" fillId="0" borderId="0" xfId="1" applyNumberFormat="1" applyFont="1" applyFill="1" applyBorder="1"/>
    <xf numFmtId="165" fontId="10" fillId="0" borderId="3" xfId="1" applyNumberFormat="1" applyFont="1" applyBorder="1"/>
    <xf numFmtId="165" fontId="10" fillId="0" borderId="0" xfId="1" applyNumberFormat="1" applyFont="1" applyAlignment="1">
      <alignment horizontal="left"/>
    </xf>
    <xf numFmtId="165" fontId="10" fillId="0" borderId="5" xfId="1" applyNumberFormat="1" applyFont="1" applyBorder="1" applyAlignment="1">
      <alignment horizontal="left"/>
    </xf>
    <xf numFmtId="165" fontId="7" fillId="0" borderId="0" xfId="1" applyNumberFormat="1" applyFont="1" applyFill="1"/>
    <xf numFmtId="165" fontId="6" fillId="0" borderId="0" xfId="1" applyNumberFormat="1" applyFont="1" applyBorder="1"/>
    <xf numFmtId="165" fontId="8" fillId="0" borderId="0" xfId="1" applyNumberFormat="1" applyFont="1"/>
    <xf numFmtId="0" fontId="5" fillId="0" borderId="0" xfId="0" applyFont="1"/>
    <xf numFmtId="0" fontId="3" fillId="0" borderId="0" xfId="0" applyFont="1"/>
    <xf numFmtId="165" fontId="3" fillId="0" borderId="0" xfId="1" applyNumberFormat="1" applyFont="1"/>
    <xf numFmtId="0" fontId="6" fillId="0" borderId="0" xfId="0" applyFont="1" applyBorder="1"/>
    <xf numFmtId="0" fontId="14" fillId="0" borderId="1" xfId="0" applyFont="1" applyBorder="1"/>
    <xf numFmtId="165" fontId="11" fillId="0" borderId="1" xfId="1" applyNumberFormat="1" applyFont="1" applyBorder="1"/>
    <xf numFmtId="0" fontId="5" fillId="0" borderId="0" xfId="0" applyFont="1" applyBorder="1"/>
    <xf numFmtId="0" fontId="7" fillId="0" borderId="0" xfId="0" applyFont="1" applyBorder="1"/>
    <xf numFmtId="166" fontId="14" fillId="0" borderId="0" xfId="0" applyNumberFormat="1" applyFont="1"/>
    <xf numFmtId="166" fontId="7" fillId="0" borderId="0" xfId="0" applyNumberFormat="1" applyFont="1" applyBorder="1"/>
    <xf numFmtId="165" fontId="14" fillId="0" borderId="3" xfId="1" applyNumberFormat="1" applyFont="1" applyBorder="1"/>
    <xf numFmtId="43" fontId="6" fillId="0" borderId="0" xfId="1" applyFont="1"/>
    <xf numFmtId="0" fontId="11" fillId="0" borderId="0" xfId="0" applyFont="1" applyAlignment="1">
      <alignment horizontal="left"/>
    </xf>
    <xf numFmtId="165" fontId="11" fillId="0" borderId="1" xfId="1" applyNumberFormat="1" applyFont="1" applyBorder="1" applyAlignment="1">
      <alignment horizontal="left"/>
    </xf>
    <xf numFmtId="165" fontId="14" fillId="0" borderId="1" xfId="1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7" fillId="0" borderId="0" xfId="1" applyFont="1"/>
    <xf numFmtId="43" fontId="6" fillId="0" borderId="0" xfId="0" applyNumberFormat="1" applyFont="1"/>
    <xf numFmtId="165" fontId="14" fillId="0" borderId="2" xfId="1" applyNumberFormat="1" applyFont="1" applyFill="1" applyBorder="1"/>
    <xf numFmtId="43" fontId="6" fillId="0" borderId="0" xfId="1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10" fillId="0" borderId="2" xfId="1" applyNumberFormat="1" applyFont="1" applyBorder="1" applyAlignment="1">
      <alignment horizontal="left"/>
    </xf>
    <xf numFmtId="0" fontId="10" fillId="0" borderId="0" xfId="0" applyFont="1" applyBorder="1"/>
    <xf numFmtId="165" fontId="6" fillId="0" borderId="0" xfId="0" applyNumberFormat="1" applyFont="1" applyBorder="1"/>
    <xf numFmtId="43" fontId="6" fillId="0" borderId="0" xfId="0" applyNumberFormat="1" applyFont="1" applyBorder="1"/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3" fillId="0" borderId="0" xfId="0" applyNumberFormat="1" applyFont="1"/>
    <xf numFmtId="0" fontId="4" fillId="0" borderId="0" xfId="0" applyFont="1"/>
    <xf numFmtId="0" fontId="19" fillId="0" borderId="0" xfId="0" applyFont="1"/>
    <xf numFmtId="0" fontId="19" fillId="0" borderId="1" xfId="0" applyFont="1" applyBorder="1" applyAlignment="1">
      <alignment horizontal="center"/>
    </xf>
    <xf numFmtId="0" fontId="4" fillId="0" borderId="1" xfId="0" applyFont="1" applyBorder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19" fillId="0" borderId="0" xfId="1" applyFont="1"/>
    <xf numFmtId="43" fontId="4" fillId="0" borderId="0" xfId="1" applyFont="1"/>
    <xf numFmtId="43" fontId="4" fillId="0" borderId="0" xfId="1" applyFont="1" applyBorder="1"/>
    <xf numFmtId="43" fontId="4" fillId="0" borderId="1" xfId="1" applyFont="1" applyBorder="1"/>
    <xf numFmtId="43" fontId="19" fillId="0" borderId="0" xfId="1" applyFont="1" applyBorder="1"/>
    <xf numFmtId="43" fontId="4" fillId="0" borderId="1" xfId="0" applyNumberFormat="1" applyFont="1" applyBorder="1"/>
    <xf numFmtId="43" fontId="4" fillId="0" borderId="3" xfId="1" applyFont="1" applyBorder="1"/>
    <xf numFmtId="43" fontId="4" fillId="0" borderId="6" xfId="1" applyFont="1" applyBorder="1"/>
    <xf numFmtId="43" fontId="19" fillId="0" borderId="3" xfId="1" applyFont="1" applyBorder="1"/>
    <xf numFmtId="43" fontId="20" fillId="0" borderId="3" xfId="1" applyFont="1" applyBorder="1"/>
    <xf numFmtId="43" fontId="19" fillId="0" borderId="4" xfId="1" applyFont="1" applyBorder="1"/>
    <xf numFmtId="43" fontId="4" fillId="0" borderId="0" xfId="0" applyNumberFormat="1" applyFont="1"/>
    <xf numFmtId="0" fontId="4" fillId="0" borderId="2" xfId="0" applyFont="1" applyBorder="1"/>
    <xf numFmtId="43" fontId="4" fillId="0" borderId="2" xfId="0" applyNumberFormat="1" applyFont="1" applyBorder="1"/>
    <xf numFmtId="49" fontId="21" fillId="0" borderId="0" xfId="0" applyNumberFormat="1" applyFont="1" applyAlignment="1">
      <alignment horizontal="left"/>
    </xf>
    <xf numFmtId="43" fontId="19" fillId="0" borderId="0" xfId="0" applyNumberFormat="1" applyFont="1"/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0" borderId="0" xfId="0" applyNumberFormat="1" applyFont="1" applyAlignment="1">
      <alignment horizontal="center"/>
    </xf>
    <xf numFmtId="164" fontId="19" fillId="0" borderId="0" xfId="0" applyNumberFormat="1" applyFont="1" applyBorder="1"/>
    <xf numFmtId="43" fontId="19" fillId="0" borderId="7" xfId="0" applyNumberFormat="1" applyFont="1" applyBorder="1"/>
    <xf numFmtId="0" fontId="13" fillId="0" borderId="0" xfId="0" applyFont="1"/>
    <xf numFmtId="0" fontId="18" fillId="0" borderId="0" xfId="0" applyFont="1" applyAlignment="1"/>
    <xf numFmtId="16" fontId="18" fillId="0" borderId="0" xfId="0" applyNumberFormat="1" applyFont="1" applyAlignment="1"/>
    <xf numFmtId="1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22" fillId="0" borderId="0" xfId="1" applyFont="1" applyBorder="1"/>
    <xf numFmtId="16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43" fontId="13" fillId="0" borderId="1" xfId="1" applyFont="1" applyBorder="1" applyAlignment="1"/>
    <xf numFmtId="43" fontId="13" fillId="0" borderId="0" xfId="1" applyFont="1" applyBorder="1" applyAlignment="1"/>
    <xf numFmtId="43" fontId="13" fillId="0" borderId="0" xfId="1" applyFont="1" applyBorder="1"/>
    <xf numFmtId="43" fontId="13" fillId="0" borderId="0" xfId="1" applyFont="1"/>
    <xf numFmtId="43" fontId="13" fillId="0" borderId="8" xfId="1" applyNumberFormat="1" applyFont="1" applyBorder="1"/>
    <xf numFmtId="0" fontId="9" fillId="0" borderId="0" xfId="0" applyFont="1"/>
    <xf numFmtId="16" fontId="18" fillId="0" borderId="0" xfId="0" applyNumberFormat="1" applyFont="1"/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43" fontId="13" fillId="0" borderId="0" xfId="1" applyFont="1" applyAlignment="1">
      <alignment horizontal="center"/>
    </xf>
    <xf numFmtId="49" fontId="13" fillId="0" borderId="0" xfId="0" applyNumberFormat="1" applyFont="1" applyAlignment="1">
      <alignment horizontal="center"/>
    </xf>
    <xf numFmtId="4" fontId="13" fillId="0" borderId="0" xfId="0" applyNumberFormat="1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22" fillId="0" borderId="6" xfId="1" applyFont="1" applyBorder="1"/>
    <xf numFmtId="0" fontId="15" fillId="0" borderId="0" xfId="0" applyFont="1" applyAlignment="1">
      <alignment horizontal="right"/>
    </xf>
    <xf numFmtId="43" fontId="13" fillId="2" borderId="11" xfId="1" applyFont="1" applyFill="1" applyBorder="1"/>
    <xf numFmtId="16" fontId="13" fillId="0" borderId="0" xfId="0" applyNumberFormat="1" applyFont="1" applyAlignment="1"/>
    <xf numFmtId="43" fontId="13" fillId="0" borderId="12" xfId="1" applyFont="1" applyBorder="1" applyAlignment="1"/>
    <xf numFmtId="43" fontId="13" fillId="2" borderId="13" xfId="1" applyFont="1" applyFill="1" applyBorder="1"/>
    <xf numFmtId="49" fontId="2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23" fillId="0" borderId="0" xfId="0" applyFont="1"/>
    <xf numFmtId="0" fontId="13" fillId="0" borderId="1" xfId="0" applyFont="1" applyBorder="1"/>
    <xf numFmtId="16" fontId="5" fillId="0" borderId="0" xfId="0" applyNumberFormat="1" applyFont="1"/>
    <xf numFmtId="43" fontId="13" fillId="0" borderId="3" xfId="1" applyFont="1" applyBorder="1"/>
    <xf numFmtId="0" fontId="5" fillId="0" borderId="0" xfId="0" applyFont="1" applyAlignment="1">
      <alignment horizontal="left"/>
    </xf>
    <xf numFmtId="43" fontId="13" fillId="0" borderId="7" xfId="1" applyFont="1" applyBorder="1"/>
    <xf numFmtId="0" fontId="0" fillId="0" borderId="0" xfId="0" applyBorder="1"/>
    <xf numFmtId="0" fontId="11" fillId="0" borderId="0" xfId="1" applyNumberFormat="1" applyFont="1"/>
    <xf numFmtId="0" fontId="14" fillId="0" borderId="0" xfId="1" applyNumberFormat="1" applyFont="1"/>
    <xf numFmtId="43" fontId="14" fillId="0" borderId="0" xfId="1" applyFont="1"/>
    <xf numFmtId="0" fontId="12" fillId="0" borderId="0" xfId="1" applyNumberFormat="1" applyFont="1"/>
    <xf numFmtId="0" fontId="10" fillId="0" borderId="0" xfId="1" applyNumberFormat="1" applyFont="1"/>
    <xf numFmtId="0" fontId="10" fillId="0" borderId="0" xfId="1" applyNumberFormat="1" applyFont="1" applyBorder="1"/>
    <xf numFmtId="0" fontId="10" fillId="0" borderId="0" xfId="1" applyNumberFormat="1" applyFont="1" applyBorder="1" applyAlignment="1">
      <alignment horizontal="left"/>
    </xf>
    <xf numFmtId="0" fontId="10" fillId="0" borderId="2" xfId="1" applyNumberFormat="1" applyFont="1" applyBorder="1"/>
    <xf numFmtId="0" fontId="14" fillId="0" borderId="0" xfId="1" applyNumberFormat="1" applyFont="1" applyBorder="1"/>
    <xf numFmtId="1" fontId="10" fillId="0" borderId="0" xfId="1" applyNumberFormat="1" applyFont="1" applyBorder="1"/>
    <xf numFmtId="43" fontId="6" fillId="0" borderId="0" xfId="0" applyNumberFormat="1" applyFont="1" applyFill="1"/>
    <xf numFmtId="165" fontId="6" fillId="0" borderId="0" xfId="0" applyNumberFormat="1" applyFont="1"/>
    <xf numFmtId="165" fontId="6" fillId="0" borderId="0" xfId="0" applyNumberFormat="1" applyFont="1" applyFill="1"/>
    <xf numFmtId="0" fontId="5" fillId="0" borderId="0" xfId="0" applyFont="1" applyFill="1" applyAlignment="1">
      <alignment horizontal="center"/>
    </xf>
    <xf numFmtId="43" fontId="6" fillId="0" borderId="0" xfId="1" applyFont="1" applyFill="1" applyBorder="1"/>
    <xf numFmtId="43" fontId="6" fillId="0" borderId="5" xfId="1" applyFont="1" applyBorder="1"/>
    <xf numFmtId="43" fontId="6" fillId="0" borderId="5" xfId="1" applyFont="1" applyFill="1" applyBorder="1"/>
    <xf numFmtId="0" fontId="6" fillId="0" borderId="5" xfId="0" applyFont="1" applyFill="1" applyBorder="1"/>
    <xf numFmtId="0" fontId="13" fillId="0" borderId="5" xfId="0" applyFont="1" applyFill="1" applyBorder="1"/>
    <xf numFmtId="0" fontId="5" fillId="0" borderId="0" xfId="0" applyFont="1" applyFill="1" applyAlignment="1">
      <alignment horizontal="left"/>
    </xf>
    <xf numFmtId="0" fontId="15" fillId="0" borderId="0" xfId="0" applyFont="1" applyFill="1"/>
    <xf numFmtId="0" fontId="7" fillId="0" borderId="0" xfId="0" applyFont="1"/>
    <xf numFmtId="43" fontId="7" fillId="0" borderId="0" xfId="0" applyNumberFormat="1" applyFont="1"/>
    <xf numFmtId="43" fontId="7" fillId="0" borderId="7" xfId="0" applyNumberFormat="1" applyFont="1" applyBorder="1"/>
    <xf numFmtId="43" fontId="7" fillId="0" borderId="3" xfId="1" applyFont="1" applyFill="1" applyBorder="1"/>
    <xf numFmtId="0" fontId="19" fillId="0" borderId="0" xfId="0" applyFont="1" applyFill="1"/>
    <xf numFmtId="0" fontId="19" fillId="0" borderId="0" xfId="1" applyNumberFormat="1" applyFont="1" applyFill="1" applyBorder="1"/>
    <xf numFmtId="0" fontId="3" fillId="0" borderId="0" xfId="0" applyFont="1" applyFill="1" applyAlignment="1">
      <alignment horizontal="left"/>
    </xf>
    <xf numFmtId="0" fontId="15" fillId="0" borderId="0" xfId="1" applyNumberFormat="1" applyFont="1" applyFill="1" applyBorder="1"/>
    <xf numFmtId="43" fontId="7" fillId="0" borderId="3" xfId="0" applyNumberFormat="1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43" fontId="6" fillId="0" borderId="3" xfId="1" applyFont="1" applyBorder="1"/>
    <xf numFmtId="0" fontId="10" fillId="0" borderId="0" xfId="0" applyFont="1" applyFill="1" applyBorder="1"/>
    <xf numFmtId="0" fontId="24" fillId="0" borderId="1" xfId="0" applyFont="1" applyBorder="1"/>
    <xf numFmtId="0" fontId="24" fillId="0" borderId="0" xfId="0" applyFont="1"/>
    <xf numFmtId="165" fontId="24" fillId="0" borderId="1" xfId="1" applyNumberFormat="1" applyFont="1" applyBorder="1" applyAlignment="1">
      <alignment horizontal="center"/>
    </xf>
    <xf numFmtId="0" fontId="25" fillId="0" borderId="0" xfId="0" applyFont="1" applyFill="1"/>
    <xf numFmtId="165" fontId="10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13" fillId="0" borderId="0" xfId="0" applyNumberFormat="1" applyFont="1"/>
    <xf numFmtId="0" fontId="6" fillId="0" borderId="1" xfId="0" applyFont="1" applyFill="1" applyBorder="1"/>
    <xf numFmtId="43" fontId="6" fillId="0" borderId="0" xfId="1" applyFont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165" fontId="26" fillId="0" borderId="0" xfId="1" applyNumberFormat="1" applyFont="1" applyAlignment="1">
      <alignment horizontal="center"/>
    </xf>
    <xf numFmtId="0" fontId="22" fillId="0" borderId="0" xfId="0" applyFont="1" applyFill="1"/>
    <xf numFmtId="167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/>
    <xf numFmtId="165" fontId="7" fillId="0" borderId="0" xfId="1" applyNumberFormat="1" applyFont="1"/>
    <xf numFmtId="43" fontId="7" fillId="0" borderId="0" xfId="1" applyNumberFormat="1" applyFont="1"/>
    <xf numFmtId="2" fontId="13" fillId="0" borderId="1" xfId="0" applyNumberFormat="1" applyFont="1" applyBorder="1"/>
    <xf numFmtId="2" fontId="13" fillId="0" borderId="0" xfId="1" applyNumberFormat="1" applyFont="1" applyBorder="1" applyAlignment="1"/>
    <xf numFmtId="2" fontId="13" fillId="0" borderId="0" xfId="1" applyNumberFormat="1" applyFont="1" applyBorder="1"/>
    <xf numFmtId="2" fontId="13" fillId="0" borderId="1" xfId="1" applyNumberFormat="1" applyFont="1" applyBorder="1" applyAlignment="1"/>
    <xf numFmtId="16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43" fontId="13" fillId="0" borderId="11" xfId="1" applyFont="1" applyBorder="1" applyAlignment="1"/>
    <xf numFmtId="43" fontId="13" fillId="0" borderId="12" xfId="1" applyFont="1" applyBorder="1" applyAlignment="1">
      <alignment horizontal="center"/>
    </xf>
    <xf numFmtId="43" fontId="13" fillId="0" borderId="12" xfId="1" applyFont="1" applyBorder="1"/>
    <xf numFmtId="0" fontId="13" fillId="0" borderId="1" xfId="0" applyFont="1" applyBorder="1" applyAlignment="1">
      <alignment horizontal="center"/>
    </xf>
    <xf numFmtId="43" fontId="13" fillId="0" borderId="10" xfId="1" applyFont="1" applyBorder="1" applyAlignment="1"/>
    <xf numFmtId="43" fontId="13" fillId="0" borderId="9" xfId="1" applyFont="1" applyBorder="1" applyAlignment="1"/>
    <xf numFmtId="43" fontId="22" fillId="0" borderId="9" xfId="1" applyFont="1" applyBorder="1"/>
    <xf numFmtId="43" fontId="1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43" fontId="19" fillId="0" borderId="7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16" fontId="13" fillId="0" borderId="0" xfId="0" applyNumberFormat="1" applyFont="1"/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43" fontId="13" fillId="0" borderId="5" xfId="1" applyFont="1" applyBorder="1" applyAlignment="1">
      <alignment horizontal="center"/>
    </xf>
    <xf numFmtId="43" fontId="13" fillId="0" borderId="5" xfId="1" applyFont="1" applyBorder="1"/>
    <xf numFmtId="0" fontId="13" fillId="0" borderId="0" xfId="0" applyFont="1" applyBorder="1" applyAlignment="1">
      <alignment horizontal="left"/>
    </xf>
    <xf numFmtId="0" fontId="28" fillId="0" borderId="0" xfId="0" applyFont="1"/>
    <xf numFmtId="0" fontId="27" fillId="0" borderId="0" xfId="0" applyFont="1"/>
    <xf numFmtId="16" fontId="28" fillId="0" borderId="0" xfId="0" applyNumberFormat="1" applyFont="1"/>
    <xf numFmtId="43" fontId="28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/>
    </xf>
    <xf numFmtId="16" fontId="18" fillId="0" borderId="0" xfId="0" applyNumberFormat="1" applyFont="1" applyAlignment="1">
      <alignment horizontal="center"/>
    </xf>
    <xf numFmtId="43" fontId="30" fillId="0" borderId="0" xfId="1" applyFont="1"/>
    <xf numFmtId="0" fontId="30" fillId="0" borderId="0" xfId="0" applyFont="1"/>
    <xf numFmtId="16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3" fontId="28" fillId="0" borderId="0" xfId="1" applyFont="1"/>
    <xf numFmtId="43" fontId="28" fillId="0" borderId="0" xfId="1" applyFont="1" applyAlignment="1">
      <alignment horizontal="center"/>
    </xf>
    <xf numFmtId="43" fontId="28" fillId="0" borderId="0" xfId="1" applyFont="1" applyAlignment="1"/>
    <xf numFmtId="43" fontId="28" fillId="0" borderId="0" xfId="1" applyFont="1" applyFill="1"/>
    <xf numFmtId="4" fontId="28" fillId="0" borderId="0" xfId="0" applyNumberFormat="1" applyFont="1"/>
    <xf numFmtId="4" fontId="28" fillId="0" borderId="0" xfId="0" applyNumberFormat="1" applyFont="1" applyAlignment="1">
      <alignment horizontal="right"/>
    </xf>
    <xf numFmtId="43" fontId="28" fillId="0" borderId="0" xfId="1" applyFont="1" applyAlignment="1">
      <alignment horizontal="right"/>
    </xf>
    <xf numFmtId="0" fontId="28" fillId="0" borderId="0" xfId="0" applyFont="1" applyFill="1" applyBorder="1" applyAlignment="1">
      <alignment horizontal="left"/>
    </xf>
    <xf numFmtId="4" fontId="28" fillId="0" borderId="0" xfId="0" applyNumberFormat="1" applyFont="1" applyAlignment="1"/>
    <xf numFmtId="43" fontId="28" fillId="0" borderId="0" xfId="1" applyFont="1" applyFill="1" applyAlignment="1">
      <alignment horizontal="right"/>
    </xf>
    <xf numFmtId="2" fontId="28" fillId="0" borderId="0" xfId="1" applyNumberFormat="1" applyFont="1"/>
    <xf numFmtId="2" fontId="28" fillId="0" borderId="0" xfId="0" applyNumberFormat="1" applyFont="1"/>
    <xf numFmtId="16" fontId="28" fillId="0" borderId="0" xfId="0" applyNumberFormat="1" applyFont="1" applyAlignment="1">
      <alignment horizontal="left"/>
    </xf>
    <xf numFmtId="43" fontId="29" fillId="0" borderId="4" xfId="1" applyFont="1" applyBorder="1"/>
    <xf numFmtId="43" fontId="29" fillId="0" borderId="0" xfId="1" applyFont="1" applyBorder="1"/>
    <xf numFmtId="49" fontId="28" fillId="0" borderId="0" xfId="0" applyNumberFormat="1" applyFont="1" applyAlignment="1">
      <alignment horizontal="center"/>
    </xf>
    <xf numFmtId="16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43" fontId="29" fillId="0" borderId="3" xfId="1" applyFont="1" applyFill="1" applyBorder="1"/>
    <xf numFmtId="2" fontId="13" fillId="0" borderId="0" xfId="0" applyNumberFormat="1" applyFont="1" applyBorder="1"/>
    <xf numFmtId="0" fontId="14" fillId="0" borderId="0" xfId="1" quotePrefix="1" applyNumberFormat="1" applyFont="1" applyAlignment="1">
      <alignment horizontal="center"/>
    </xf>
    <xf numFmtId="165" fontId="14" fillId="0" borderId="0" xfId="1" quotePrefix="1" applyNumberFormat="1" applyFont="1" applyAlignment="1">
      <alignment horizontal="center"/>
    </xf>
    <xf numFmtId="165" fontId="1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" fontId="18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averham%20PC/Desktop/Michelle/Accounts/2015-16/03.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"/>
      <sheetName val="Income"/>
      <sheetName val="Expenditure"/>
      <sheetName val="Deposit Ac's"/>
    </sheetNames>
    <sheetDataSet>
      <sheetData sheetId="0"/>
      <sheetData sheetId="1"/>
      <sheetData sheetId="2">
        <row r="7">
          <cell r="AJ7">
            <v>929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"/>
      <sheetName val="Income"/>
      <sheetName val="Expenditure"/>
      <sheetName val="Deposit Ac's"/>
    </sheetNames>
    <sheetDataSet>
      <sheetData sheetId="0"/>
      <sheetData sheetId="1"/>
      <sheetData sheetId="2">
        <row r="9">
          <cell r="C9" t="str">
            <v>OPAL (Talk Talk Business)</v>
          </cell>
          <cell r="D9" t="str">
            <v>01606 854451, phoneline and internet</v>
          </cell>
        </row>
        <row r="13">
          <cell r="C13" t="str">
            <v>BT Group plc</v>
          </cell>
          <cell r="D13" t="str">
            <v>Premium E-mail service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"/>
      <sheetName val="Income"/>
      <sheetName val="Expenditure"/>
      <sheetName val="Deposit Ac's"/>
    </sheetNames>
    <sheetDataSet>
      <sheetData sheetId="0"/>
      <sheetData sheetId="1"/>
      <sheetData sheetId="2">
        <row r="8">
          <cell r="D8" t="str">
            <v>01606 854451, phoneline and internet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opLeftCell="A40" zoomScale="80" zoomScaleNormal="80" workbookViewId="0">
      <selection activeCell="D67" sqref="D67"/>
    </sheetView>
  </sheetViews>
  <sheetFormatPr defaultRowHeight="12.75" x14ac:dyDescent="0.2"/>
  <cols>
    <col min="1" max="1" width="43.5703125" style="1" customWidth="1"/>
    <col min="2" max="2" width="3.7109375" style="1" customWidth="1"/>
    <col min="3" max="3" width="10.140625" style="1" bestFit="1" customWidth="1"/>
    <col min="4" max="4" width="11.28515625" style="1" bestFit="1" customWidth="1"/>
    <col min="5" max="5" width="3.7109375" style="1" customWidth="1"/>
    <col min="6" max="6" width="3.5703125" style="1" customWidth="1"/>
    <col min="7" max="7" width="9.7109375" style="2" customWidth="1"/>
    <col min="8" max="8" width="12.85546875" style="2" customWidth="1"/>
    <col min="9" max="9" width="3.5703125" style="2" customWidth="1"/>
    <col min="10" max="10" width="3.5703125" style="1" customWidth="1"/>
    <col min="11" max="11" width="9.5703125" style="1" customWidth="1"/>
    <col min="12" max="12" width="13" style="1" customWidth="1"/>
    <col min="13" max="13" width="10" style="1" customWidth="1"/>
    <col min="14" max="14" width="3.5703125" style="1" hidden="1" customWidth="1"/>
    <col min="15" max="15" width="4.5703125" style="1" hidden="1" customWidth="1"/>
    <col min="16" max="17" width="9.7109375" style="2" hidden="1" customWidth="1"/>
    <col min="18" max="18" width="4.42578125" style="1" hidden="1" customWidth="1"/>
    <col min="19" max="19" width="13.5703125" style="1" bestFit="1" customWidth="1"/>
    <col min="20" max="16384" width="9.140625" style="1"/>
  </cols>
  <sheetData>
    <row r="1" spans="1:19" s="6" customFormat="1" ht="18.75" x14ac:dyDescent="0.3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9" s="6" customFormat="1" x14ac:dyDescent="0.2">
      <c r="G2" s="71"/>
      <c r="H2" s="71"/>
      <c r="I2" s="71"/>
      <c r="P2" s="71"/>
      <c r="Q2" s="71"/>
    </row>
    <row r="3" spans="1:19" s="72" customFormat="1" ht="15.75" x14ac:dyDescent="0.25">
      <c r="A3" s="288" t="s">
        <v>185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9" ht="18.75" x14ac:dyDescent="0.3">
      <c r="A4" s="73"/>
      <c r="B4" s="73"/>
      <c r="C4" s="73"/>
      <c r="D4" s="73"/>
      <c r="E4" s="73"/>
      <c r="F4" s="73"/>
      <c r="G4" s="74"/>
      <c r="H4" s="74"/>
      <c r="I4" s="74"/>
      <c r="J4" s="73"/>
      <c r="K4" s="73"/>
      <c r="L4" s="73"/>
      <c r="M4" s="73"/>
      <c r="N4" s="73"/>
      <c r="O4" s="73"/>
      <c r="P4" s="74"/>
      <c r="Q4" s="74"/>
      <c r="R4" s="73"/>
    </row>
    <row r="5" spans="1:19" ht="15" x14ac:dyDescent="0.25">
      <c r="A5" s="24"/>
      <c r="B5" s="24"/>
      <c r="C5" s="286"/>
      <c r="D5" s="286"/>
      <c r="E5" s="23"/>
      <c r="F5" s="24"/>
      <c r="G5" s="286" t="s">
        <v>7</v>
      </c>
      <c r="H5" s="286"/>
      <c r="I5" s="19"/>
      <c r="J5" s="24"/>
      <c r="K5" s="286" t="s">
        <v>81</v>
      </c>
      <c r="L5" s="286"/>
      <c r="M5" s="23"/>
      <c r="N5" s="24"/>
      <c r="O5" s="24"/>
      <c r="P5" s="286" t="s">
        <v>81</v>
      </c>
      <c r="Q5" s="286"/>
      <c r="R5" s="75"/>
    </row>
    <row r="6" spans="1:19" ht="15" x14ac:dyDescent="0.25">
      <c r="A6" s="24"/>
      <c r="B6" s="24"/>
      <c r="C6" s="284" t="s">
        <v>186</v>
      </c>
      <c r="D6" s="284"/>
      <c r="E6" s="23"/>
      <c r="F6" s="24"/>
      <c r="G6" s="284" t="s">
        <v>186</v>
      </c>
      <c r="H6" s="284"/>
      <c r="I6" s="19"/>
      <c r="J6" s="24"/>
      <c r="K6" s="285" t="s">
        <v>168</v>
      </c>
      <c r="L6" s="285"/>
      <c r="M6" s="23"/>
      <c r="N6" s="24"/>
      <c r="O6" s="24"/>
      <c r="P6" s="286" t="s">
        <v>8</v>
      </c>
      <c r="Q6" s="286"/>
      <c r="R6" s="75"/>
    </row>
    <row r="7" spans="1:19" ht="15" x14ac:dyDescent="0.25">
      <c r="A7" s="24"/>
      <c r="B7" s="24"/>
      <c r="C7" s="26" t="s">
        <v>9</v>
      </c>
      <c r="D7" s="26" t="s">
        <v>9</v>
      </c>
      <c r="E7" s="76"/>
      <c r="F7" s="28"/>
      <c r="G7" s="26" t="s">
        <v>9</v>
      </c>
      <c r="H7" s="26" t="s">
        <v>9</v>
      </c>
      <c r="I7" s="19"/>
      <c r="J7" s="28"/>
      <c r="K7" s="26"/>
      <c r="L7" s="26" t="s">
        <v>9</v>
      </c>
      <c r="M7" s="76"/>
      <c r="N7" s="28"/>
      <c r="O7" s="28"/>
      <c r="P7" s="26" t="s">
        <v>9</v>
      </c>
      <c r="Q7" s="26" t="s">
        <v>9</v>
      </c>
      <c r="R7" s="75"/>
    </row>
    <row r="8" spans="1:19" ht="15.75" x14ac:dyDescent="0.25">
      <c r="A8" s="13" t="s">
        <v>10</v>
      </c>
      <c r="B8" s="13"/>
      <c r="C8" s="36"/>
      <c r="D8" s="36"/>
      <c r="E8" s="77"/>
      <c r="F8" s="36"/>
      <c r="G8" s="36"/>
      <c r="H8" s="36"/>
      <c r="I8" s="77"/>
      <c r="J8" s="36"/>
      <c r="K8" s="171"/>
      <c r="L8" s="171"/>
      <c r="M8" s="77"/>
      <c r="N8" s="36"/>
      <c r="O8" s="36"/>
      <c r="P8" s="36"/>
      <c r="Q8" s="36"/>
      <c r="R8" s="78"/>
    </row>
    <row r="9" spans="1:19" ht="15" x14ac:dyDescent="0.25">
      <c r="A9" s="24"/>
      <c r="B9" s="24"/>
      <c r="C9" s="40"/>
      <c r="D9" s="40"/>
      <c r="E9" s="41"/>
      <c r="F9" s="40"/>
      <c r="G9" s="40"/>
      <c r="H9" s="40"/>
      <c r="I9" s="41"/>
      <c r="J9" s="40"/>
      <c r="K9" s="40"/>
      <c r="L9" s="40"/>
      <c r="M9" s="41"/>
      <c r="N9" s="40"/>
      <c r="O9" s="40"/>
      <c r="P9" s="40"/>
      <c r="Q9" s="40"/>
      <c r="R9" s="75"/>
    </row>
    <row r="10" spans="1:19" ht="15" x14ac:dyDescent="0.25">
      <c r="A10" s="28" t="s">
        <v>11</v>
      </c>
      <c r="B10" s="28"/>
      <c r="C10" s="32"/>
      <c r="D10" s="40">
        <f>+Income!I8</f>
        <v>66762</v>
      </c>
      <c r="E10" s="33"/>
      <c r="F10" s="32"/>
      <c r="G10" s="32"/>
      <c r="H10" s="40">
        <v>66762</v>
      </c>
      <c r="I10" s="33"/>
      <c r="J10" s="32"/>
      <c r="K10" s="32"/>
      <c r="L10" s="40">
        <v>66062</v>
      </c>
      <c r="M10" s="33"/>
      <c r="N10" s="32"/>
      <c r="O10" s="40"/>
      <c r="P10" s="40"/>
      <c r="Q10" s="40">
        <f>65000*1.02</f>
        <v>66300</v>
      </c>
      <c r="R10" s="79"/>
      <c r="S10" s="75"/>
    </row>
    <row r="11" spans="1:19" ht="15" x14ac:dyDescent="0.25">
      <c r="A11" s="80"/>
      <c r="B11" s="80"/>
      <c r="C11" s="32"/>
      <c r="D11" s="32"/>
      <c r="E11" s="33"/>
      <c r="F11" s="32"/>
      <c r="G11" s="32"/>
      <c r="H11" s="32"/>
      <c r="I11" s="33"/>
      <c r="J11" s="32"/>
      <c r="K11" s="32"/>
      <c r="L11" s="32"/>
      <c r="M11" s="33"/>
      <c r="N11" s="32"/>
      <c r="O11" s="32"/>
      <c r="P11" s="32"/>
      <c r="Q11" s="32"/>
      <c r="R11" s="81"/>
      <c r="S11" s="75"/>
    </row>
    <row r="12" spans="1:19" ht="15" x14ac:dyDescent="0.25">
      <c r="A12" s="28" t="s">
        <v>4</v>
      </c>
      <c r="B12" s="28"/>
      <c r="C12" s="32"/>
      <c r="D12" s="32"/>
      <c r="E12" s="33"/>
      <c r="F12" s="32"/>
      <c r="G12" s="32"/>
      <c r="H12" s="32"/>
      <c r="I12" s="33"/>
      <c r="J12" s="32"/>
      <c r="K12" s="32"/>
      <c r="L12" s="32"/>
      <c r="M12" s="33"/>
      <c r="N12" s="32"/>
      <c r="O12" s="32"/>
      <c r="P12" s="32"/>
      <c r="Q12" s="32"/>
      <c r="R12" s="79"/>
      <c r="S12" s="75"/>
    </row>
    <row r="13" spans="1:19" ht="15" x14ac:dyDescent="0.25">
      <c r="A13" s="24" t="s">
        <v>164</v>
      </c>
      <c r="B13" s="24"/>
      <c r="C13" s="40">
        <f>+'Deposit Ac'!I26</f>
        <v>44.56</v>
      </c>
      <c r="D13" s="40"/>
      <c r="E13" s="41"/>
      <c r="F13" s="40"/>
      <c r="G13" s="40">
        <v>15</v>
      </c>
      <c r="H13" s="40"/>
      <c r="I13" s="41"/>
      <c r="J13" s="40"/>
      <c r="K13" s="40">
        <v>58</v>
      </c>
      <c r="L13" s="40"/>
      <c r="M13" s="41"/>
      <c r="N13" s="40"/>
      <c r="O13" s="40"/>
      <c r="P13" s="40">
        <v>23.58</v>
      </c>
      <c r="Q13" s="40"/>
      <c r="R13" s="75"/>
      <c r="S13" s="75"/>
    </row>
    <row r="14" spans="1:19" ht="15" x14ac:dyDescent="0.25">
      <c r="A14" s="24" t="s">
        <v>163</v>
      </c>
      <c r="B14" s="24"/>
      <c r="C14" s="40">
        <f>+Income!F41</f>
        <v>21.27</v>
      </c>
      <c r="D14" s="40"/>
      <c r="E14" s="41"/>
      <c r="F14" s="40"/>
      <c r="G14" s="40">
        <v>25</v>
      </c>
      <c r="H14" s="40"/>
      <c r="I14" s="41"/>
      <c r="J14" s="40"/>
      <c r="K14" s="40">
        <v>26</v>
      </c>
      <c r="L14" s="40"/>
      <c r="M14" s="41"/>
      <c r="N14" s="40"/>
      <c r="O14" s="40"/>
      <c r="P14" s="51">
        <v>30.2</v>
      </c>
      <c r="Q14" s="51"/>
      <c r="R14" s="75"/>
      <c r="S14" s="75"/>
    </row>
    <row r="15" spans="1:19" ht="15" x14ac:dyDescent="0.25">
      <c r="A15" s="24" t="s">
        <v>172</v>
      </c>
      <c r="B15" s="24"/>
      <c r="C15" s="43">
        <f>+'Deposit Ac'!I13</f>
        <v>135.87</v>
      </c>
      <c r="D15" s="43"/>
      <c r="E15" s="41"/>
      <c r="F15" s="40"/>
      <c r="G15" s="43">
        <v>125</v>
      </c>
      <c r="H15" s="43"/>
      <c r="I15" s="41"/>
      <c r="J15" s="40"/>
      <c r="K15" s="43">
        <v>134</v>
      </c>
      <c r="L15" s="43"/>
      <c r="M15" s="41"/>
      <c r="N15" s="40"/>
      <c r="O15" s="40"/>
      <c r="P15" s="42">
        <v>45.24</v>
      </c>
      <c r="Q15" s="42"/>
      <c r="R15" s="75"/>
      <c r="S15" s="75"/>
    </row>
    <row r="16" spans="1:19" ht="15" x14ac:dyDescent="0.25">
      <c r="A16" s="24"/>
      <c r="B16" s="24"/>
      <c r="C16" s="40"/>
      <c r="D16" s="66">
        <f>SUM(C13:C15)</f>
        <v>201.7</v>
      </c>
      <c r="E16" s="41"/>
      <c r="F16" s="40"/>
      <c r="G16" s="40"/>
      <c r="H16" s="66">
        <f>G13+G14+G15</f>
        <v>165</v>
      </c>
      <c r="I16" s="41"/>
      <c r="J16" s="40"/>
      <c r="K16" s="40"/>
      <c r="L16" s="66">
        <f>K13+K14+K15</f>
        <v>218</v>
      </c>
      <c r="M16" s="41"/>
      <c r="N16" s="40"/>
      <c r="O16" s="40"/>
      <c r="P16" s="51"/>
      <c r="Q16" s="42">
        <f>SUM(P13:P15)</f>
        <v>99.02000000000001</v>
      </c>
      <c r="R16" s="75"/>
      <c r="S16" s="75"/>
    </row>
    <row r="17" spans="1:19" ht="15" x14ac:dyDescent="0.25">
      <c r="A17" s="24"/>
      <c r="B17" s="24"/>
      <c r="C17" s="40"/>
      <c r="D17" s="40"/>
      <c r="E17" s="41"/>
      <c r="F17" s="40"/>
      <c r="G17" s="40"/>
      <c r="H17" s="40"/>
      <c r="I17" s="41"/>
      <c r="J17" s="40"/>
      <c r="K17" s="40"/>
      <c r="L17" s="40"/>
      <c r="M17" s="41"/>
      <c r="N17" s="40"/>
      <c r="O17" s="40"/>
      <c r="P17" s="40"/>
      <c r="Q17" s="40"/>
      <c r="R17" s="75"/>
      <c r="S17" s="75"/>
    </row>
    <row r="18" spans="1:19" ht="15" x14ac:dyDescent="0.25">
      <c r="A18" s="28" t="s">
        <v>12</v>
      </c>
      <c r="B18" s="28"/>
      <c r="C18" s="32"/>
      <c r="D18" s="32"/>
      <c r="E18" s="33"/>
      <c r="F18" s="32"/>
      <c r="G18" s="32"/>
      <c r="H18" s="32"/>
      <c r="I18" s="33"/>
      <c r="J18" s="32"/>
      <c r="K18" s="32"/>
      <c r="L18" s="32"/>
      <c r="M18" s="33"/>
      <c r="N18" s="32"/>
      <c r="O18" s="32"/>
      <c r="P18" s="32"/>
      <c r="Q18" s="32"/>
      <c r="R18" s="79"/>
      <c r="S18" s="75"/>
    </row>
    <row r="19" spans="1:19" ht="15" x14ac:dyDescent="0.25">
      <c r="A19" s="24" t="s">
        <v>13</v>
      </c>
      <c r="B19" s="24"/>
      <c r="C19" s="44">
        <f>+Income!D41</f>
        <v>7271.3399999999992</v>
      </c>
      <c r="D19" s="44"/>
      <c r="E19" s="41"/>
      <c r="F19" s="40"/>
      <c r="G19" s="43"/>
      <c r="H19" s="43"/>
      <c r="I19" s="41"/>
      <c r="J19" s="40"/>
      <c r="K19" s="44">
        <v>9705</v>
      </c>
      <c r="L19" s="44"/>
      <c r="M19" s="41"/>
      <c r="N19" s="40"/>
      <c r="O19" s="40"/>
      <c r="P19" s="42">
        <v>4067</v>
      </c>
      <c r="Q19" s="42"/>
      <c r="R19" s="75"/>
      <c r="S19" s="75"/>
    </row>
    <row r="20" spans="1:19" ht="15" x14ac:dyDescent="0.25">
      <c r="A20" s="24"/>
      <c r="B20" s="24"/>
      <c r="C20" s="43">
        <f>+Income!I7</f>
        <v>0</v>
      </c>
      <c r="D20" s="43"/>
      <c r="E20" s="41"/>
      <c r="F20" s="40"/>
      <c r="G20" s="40"/>
      <c r="H20" s="66"/>
      <c r="I20" s="41"/>
      <c r="J20" s="40"/>
      <c r="K20" s="43">
        <v>0</v>
      </c>
      <c r="L20" s="43"/>
      <c r="M20" s="41"/>
      <c r="N20" s="40"/>
      <c r="O20" s="40"/>
      <c r="P20" s="51"/>
      <c r="Q20" s="42"/>
      <c r="R20" s="75"/>
      <c r="S20" s="75"/>
    </row>
    <row r="21" spans="1:19" ht="15" x14ac:dyDescent="0.25">
      <c r="A21" s="24"/>
      <c r="B21" s="24"/>
      <c r="C21" s="40"/>
      <c r="D21" s="66">
        <f>SUM(C19:C20)</f>
        <v>7271.3399999999992</v>
      </c>
      <c r="E21" s="41"/>
      <c r="F21" s="40"/>
      <c r="G21" s="40"/>
      <c r="H21" s="40">
        <v>0</v>
      </c>
      <c r="I21" s="41"/>
      <c r="J21" s="40"/>
      <c r="K21" s="40"/>
      <c r="L21" s="66">
        <f>K19+K20</f>
        <v>9705</v>
      </c>
      <c r="M21" s="41"/>
      <c r="N21" s="40"/>
      <c r="O21" s="40"/>
      <c r="P21" s="51"/>
      <c r="Q21" s="42">
        <f>SUM(P19:P19)</f>
        <v>4067</v>
      </c>
      <c r="R21" s="75"/>
      <c r="S21" s="75"/>
    </row>
    <row r="22" spans="1:19" ht="15" x14ac:dyDescent="0.25">
      <c r="A22" s="24"/>
      <c r="B22" s="24"/>
      <c r="C22" s="40"/>
      <c r="D22" s="40"/>
      <c r="E22" s="41"/>
      <c r="F22" s="40"/>
      <c r="G22" s="32"/>
      <c r="H22" s="32"/>
      <c r="I22" s="41"/>
      <c r="J22" s="40"/>
      <c r="K22" s="40"/>
      <c r="L22" s="40"/>
      <c r="M22" s="41"/>
      <c r="N22" s="40"/>
      <c r="O22" s="40"/>
      <c r="P22" s="40"/>
      <c r="Q22" s="40"/>
      <c r="R22" s="75"/>
      <c r="S22" s="20"/>
    </row>
    <row r="23" spans="1:19" ht="15" x14ac:dyDescent="0.25">
      <c r="A23" s="28" t="s">
        <v>14</v>
      </c>
      <c r="B23" s="28"/>
      <c r="C23" s="32"/>
      <c r="D23" s="32"/>
      <c r="E23" s="33"/>
      <c r="F23" s="32"/>
      <c r="G23" s="40"/>
      <c r="H23" s="40"/>
      <c r="I23" s="33"/>
      <c r="J23" s="32"/>
      <c r="K23" s="32"/>
      <c r="L23" s="32"/>
      <c r="M23" s="33"/>
      <c r="N23" s="32"/>
      <c r="O23" s="32"/>
      <c r="P23" s="32"/>
      <c r="Q23" s="32"/>
      <c r="R23" s="79"/>
      <c r="S23" s="20"/>
    </row>
    <row r="24" spans="1:19" ht="15" x14ac:dyDescent="0.25">
      <c r="A24" s="24" t="s">
        <v>15</v>
      </c>
      <c r="B24" s="24"/>
      <c r="C24" s="40">
        <f>Income!C12+Income!C19+Income!C20</f>
        <v>100</v>
      </c>
      <c r="D24" s="40"/>
      <c r="E24" s="41"/>
      <c r="F24" s="40"/>
      <c r="G24" s="40">
        <v>25</v>
      </c>
      <c r="I24" s="41"/>
      <c r="J24" s="40"/>
      <c r="K24" s="40">
        <v>30</v>
      </c>
      <c r="L24" s="40"/>
      <c r="M24" s="41"/>
      <c r="N24" s="40"/>
      <c r="O24" s="40"/>
      <c r="P24" s="40">
        <f>5+5-5-5</f>
        <v>0</v>
      </c>
      <c r="Q24" s="40"/>
      <c r="R24" s="75"/>
      <c r="S24" s="20"/>
    </row>
    <row r="25" spans="1:19" ht="15" x14ac:dyDescent="0.25">
      <c r="A25" s="24" t="s">
        <v>16</v>
      </c>
      <c r="B25" s="24"/>
      <c r="C25" s="40">
        <f>+Income!G10+Income!C18</f>
        <v>1080</v>
      </c>
      <c r="D25" s="40"/>
      <c r="E25" s="41"/>
      <c r="F25" s="40"/>
      <c r="G25" s="40">
        <v>1440</v>
      </c>
      <c r="H25" s="40"/>
      <c r="I25" s="41"/>
      <c r="J25" s="40"/>
      <c r="K25" s="40">
        <v>720</v>
      </c>
      <c r="L25" s="40"/>
      <c r="M25" s="41"/>
      <c r="N25" s="40"/>
      <c r="O25" s="40"/>
      <c r="P25" s="40">
        <v>894.25</v>
      </c>
      <c r="Q25" s="40"/>
      <c r="R25" s="75"/>
      <c r="S25" s="20"/>
    </row>
    <row r="26" spans="1:19" ht="15" x14ac:dyDescent="0.25">
      <c r="A26" s="24" t="s">
        <v>17</v>
      </c>
      <c r="B26" s="24"/>
      <c r="C26" s="40">
        <f>+Income!G22</f>
        <v>150</v>
      </c>
      <c r="D26" s="43"/>
      <c r="E26" s="41"/>
      <c r="F26" s="40"/>
      <c r="G26" s="43">
        <v>0</v>
      </c>
      <c r="H26" s="43"/>
      <c r="I26" s="41"/>
      <c r="J26" s="40"/>
      <c r="K26" s="43"/>
      <c r="L26" s="43"/>
      <c r="M26" s="41"/>
      <c r="N26" s="40"/>
      <c r="O26" s="40"/>
      <c r="P26" s="40">
        <f>100-100</f>
        <v>0</v>
      </c>
      <c r="Q26" s="40"/>
      <c r="R26" s="75"/>
      <c r="S26" s="75"/>
    </row>
    <row r="27" spans="1:19" ht="15" x14ac:dyDescent="0.25">
      <c r="A27" s="24"/>
      <c r="B27" s="24"/>
      <c r="C27" s="40"/>
      <c r="D27" s="66">
        <f>SUM(C24:C26)</f>
        <v>1330</v>
      </c>
      <c r="E27" s="41"/>
      <c r="F27" s="40"/>
      <c r="G27" s="44"/>
      <c r="H27" s="44">
        <f>G24+G25+G26</f>
        <v>1465</v>
      </c>
      <c r="I27" s="41"/>
      <c r="J27" s="40"/>
      <c r="K27" s="40"/>
      <c r="L27" s="66">
        <f>K24+K25+K26</f>
        <v>750</v>
      </c>
      <c r="M27" s="41"/>
      <c r="N27" s="40"/>
      <c r="O27" s="40"/>
      <c r="P27" s="40"/>
      <c r="Q27" s="66">
        <f>SUM(P24:P26)</f>
        <v>894.25</v>
      </c>
      <c r="R27" s="75"/>
      <c r="S27" s="75"/>
    </row>
    <row r="28" spans="1:19" ht="15" x14ac:dyDescent="0.25">
      <c r="A28" s="28" t="s">
        <v>18</v>
      </c>
      <c r="B28" s="28"/>
      <c r="C28" s="44"/>
      <c r="D28" s="44"/>
      <c r="E28" s="33"/>
      <c r="F28" s="40"/>
      <c r="I28" s="41"/>
      <c r="J28" s="40"/>
      <c r="K28" s="44"/>
      <c r="L28" s="44"/>
      <c r="M28" s="41"/>
      <c r="N28" s="40"/>
      <c r="O28" s="40"/>
      <c r="P28" s="51"/>
      <c r="Q28" s="51"/>
      <c r="R28" s="75"/>
      <c r="S28" s="75"/>
    </row>
    <row r="29" spans="1:19" ht="15" x14ac:dyDescent="0.25">
      <c r="A29" s="24" t="s">
        <v>19</v>
      </c>
      <c r="B29" s="24"/>
      <c r="C29" s="44">
        <f>Income!C21+Income!C23+Income!C26+Income!G30</f>
        <v>97</v>
      </c>
      <c r="D29" s="44"/>
      <c r="E29" s="41"/>
      <c r="F29" s="40"/>
      <c r="G29" s="44">
        <v>60</v>
      </c>
      <c r="H29" s="44"/>
      <c r="I29" s="41"/>
      <c r="J29" s="40"/>
      <c r="K29" s="44">
        <v>30</v>
      </c>
      <c r="L29" s="44"/>
      <c r="M29" s="41"/>
      <c r="N29" s="40"/>
      <c r="O29" s="40"/>
      <c r="P29" s="40">
        <f>15+15+30</f>
        <v>60</v>
      </c>
      <c r="Q29" s="44"/>
      <c r="R29" s="75"/>
      <c r="S29" s="75"/>
    </row>
    <row r="30" spans="1:19" ht="15" x14ac:dyDescent="0.25">
      <c r="A30" s="24" t="s">
        <v>227</v>
      </c>
      <c r="B30" s="24"/>
      <c r="C30" s="44">
        <f>Income!I33-Expenditure!AJ146</f>
        <v>50</v>
      </c>
      <c r="D30" s="44"/>
      <c r="E30" s="41"/>
      <c r="F30" s="40"/>
      <c r="G30" s="44"/>
      <c r="H30" s="44"/>
      <c r="I30" s="41"/>
      <c r="J30" s="40"/>
      <c r="K30" s="44">
        <v>115</v>
      </c>
      <c r="L30" s="44"/>
      <c r="M30" s="41"/>
      <c r="N30" s="40"/>
      <c r="O30" s="40"/>
      <c r="P30" s="40"/>
      <c r="Q30" s="44"/>
      <c r="R30" s="75"/>
      <c r="S30" s="75"/>
    </row>
    <row r="31" spans="1:19" ht="15" x14ac:dyDescent="0.25">
      <c r="A31" s="24" t="s">
        <v>262</v>
      </c>
      <c r="B31" s="24"/>
      <c r="C31" s="44"/>
      <c r="D31" s="44"/>
      <c r="E31" s="41"/>
      <c r="F31" s="40"/>
      <c r="G31" s="44"/>
      <c r="H31" s="44"/>
      <c r="I31" s="41"/>
      <c r="J31" s="40"/>
      <c r="K31" s="44">
        <v>573</v>
      </c>
      <c r="L31" s="44"/>
      <c r="M31" s="41"/>
      <c r="N31" s="40"/>
      <c r="O31" s="40"/>
      <c r="P31" s="40"/>
      <c r="Q31" s="44"/>
      <c r="R31" s="75"/>
      <c r="S31" s="75"/>
    </row>
    <row r="32" spans="1:19" ht="15" x14ac:dyDescent="0.25">
      <c r="A32" s="24" t="s">
        <v>20</v>
      </c>
      <c r="B32" s="24"/>
      <c r="C32" s="44">
        <f>Income!C29</f>
        <v>67</v>
      </c>
      <c r="D32" s="44"/>
      <c r="E32" s="41"/>
      <c r="F32" s="40"/>
      <c r="G32" s="44">
        <v>5</v>
      </c>
      <c r="H32" s="44"/>
      <c r="I32" s="41"/>
      <c r="J32" s="40"/>
      <c r="K32" s="44"/>
      <c r="L32" s="44"/>
      <c r="M32" s="41"/>
      <c r="N32" s="40"/>
      <c r="O32" s="40"/>
      <c r="P32" s="51"/>
      <c r="Q32" s="51"/>
      <c r="R32" s="75"/>
      <c r="S32" s="75"/>
    </row>
    <row r="33" spans="1:19" ht="15" x14ac:dyDescent="0.25">
      <c r="A33" s="24" t="s">
        <v>239</v>
      </c>
      <c r="B33" s="24"/>
      <c r="C33" s="44">
        <f>SUM(45.2+57.1)</f>
        <v>102.30000000000001</v>
      </c>
      <c r="D33" s="44"/>
      <c r="E33" s="41"/>
      <c r="F33" s="40"/>
      <c r="G33" s="44"/>
      <c r="H33" s="44"/>
      <c r="I33" s="41"/>
      <c r="J33" s="40"/>
      <c r="K33" s="44"/>
      <c r="L33" s="44"/>
      <c r="M33" s="41"/>
      <c r="N33" s="40"/>
      <c r="O33" s="40"/>
      <c r="P33" s="51"/>
      <c r="Q33" s="51"/>
      <c r="R33" s="75"/>
      <c r="S33" s="75"/>
    </row>
    <row r="34" spans="1:19" ht="15" x14ac:dyDescent="0.25">
      <c r="A34" s="24" t="s">
        <v>21</v>
      </c>
      <c r="B34" s="24"/>
      <c r="C34" s="44"/>
      <c r="D34" s="44"/>
      <c r="E34" s="41"/>
      <c r="F34" s="40"/>
      <c r="G34" s="44">
        <v>5</v>
      </c>
      <c r="H34" s="44"/>
      <c r="I34" s="41"/>
      <c r="J34" s="40"/>
      <c r="K34" s="44"/>
      <c r="L34" s="44"/>
      <c r="M34" s="41"/>
      <c r="N34" s="40"/>
      <c r="O34" s="40"/>
      <c r="P34" s="51"/>
      <c r="Q34" s="51"/>
      <c r="R34" s="75"/>
      <c r="S34" s="75"/>
    </row>
    <row r="35" spans="1:19" ht="15" x14ac:dyDescent="0.25">
      <c r="A35" s="24" t="s">
        <v>169</v>
      </c>
      <c r="B35" s="24"/>
      <c r="C35" s="44"/>
      <c r="D35" s="44"/>
      <c r="E35" s="41"/>
      <c r="F35" s="40"/>
      <c r="G35" s="44">
        <v>4970</v>
      </c>
      <c r="H35" s="44"/>
      <c r="I35" s="41"/>
      <c r="J35" s="40"/>
      <c r="K35" s="44">
        <v>7137</v>
      </c>
      <c r="L35" s="44"/>
      <c r="M35" s="41"/>
      <c r="N35" s="40"/>
      <c r="O35" s="40"/>
      <c r="P35" s="51"/>
      <c r="Q35" s="51"/>
      <c r="R35" s="75"/>
      <c r="S35" s="75"/>
    </row>
    <row r="36" spans="1:19" ht="15" x14ac:dyDescent="0.25">
      <c r="A36" s="24" t="s">
        <v>265</v>
      </c>
      <c r="B36" s="24"/>
      <c r="C36" s="44">
        <v>400</v>
      </c>
      <c r="D36" s="44"/>
      <c r="E36" s="41"/>
      <c r="F36" s="40"/>
      <c r="G36" s="44"/>
      <c r="H36" s="44"/>
      <c r="I36" s="41"/>
      <c r="J36" s="40"/>
      <c r="K36" s="40">
        <v>250</v>
      </c>
      <c r="L36" s="44"/>
      <c r="M36" s="41"/>
      <c r="N36" s="40"/>
      <c r="O36" s="40"/>
      <c r="P36" s="51"/>
      <c r="Q36" s="51"/>
      <c r="R36" s="75"/>
      <c r="S36" s="75"/>
    </row>
    <row r="37" spans="1:19" ht="15" x14ac:dyDescent="0.25">
      <c r="A37" s="24" t="s">
        <v>170</v>
      </c>
      <c r="B37" s="24"/>
      <c r="C37" s="43">
        <f>-Expenditure!AK28</f>
        <v>0</v>
      </c>
      <c r="D37" s="43"/>
      <c r="E37" s="41"/>
      <c r="F37" s="40"/>
      <c r="G37" s="43"/>
      <c r="H37" s="43"/>
      <c r="I37" s="41"/>
      <c r="J37" s="40"/>
      <c r="K37" s="43">
        <v>0</v>
      </c>
      <c r="L37" s="43"/>
      <c r="M37" s="41"/>
      <c r="N37" s="40"/>
      <c r="O37" s="40"/>
      <c r="P37" s="42">
        <v>50</v>
      </c>
      <c r="Q37" s="42"/>
      <c r="R37" s="75"/>
      <c r="S37" s="75"/>
    </row>
    <row r="38" spans="1:19" ht="15" x14ac:dyDescent="0.25">
      <c r="A38" s="24"/>
      <c r="B38" s="24"/>
      <c r="C38" s="40"/>
      <c r="D38" s="66">
        <f>SUM(C29:C37)</f>
        <v>716.3</v>
      </c>
      <c r="E38" s="41"/>
      <c r="F38" s="40"/>
      <c r="G38" s="40"/>
      <c r="H38" s="66">
        <v>5040</v>
      </c>
      <c r="I38" s="41"/>
      <c r="J38" s="40"/>
      <c r="L38" s="66">
        <f>SUM(K29:K37)</f>
        <v>8105</v>
      </c>
      <c r="M38" s="41"/>
      <c r="N38" s="40"/>
      <c r="O38" s="40"/>
      <c r="P38" s="51"/>
      <c r="Q38" s="42">
        <f>SUM(P29:P37)</f>
        <v>110</v>
      </c>
      <c r="R38" s="75"/>
      <c r="S38" s="75"/>
    </row>
    <row r="39" spans="1:19" ht="15" x14ac:dyDescent="0.25">
      <c r="A39" s="24"/>
      <c r="B39" s="24"/>
      <c r="C39" s="40"/>
      <c r="D39" s="40"/>
      <c r="E39" s="41"/>
      <c r="F39" s="40"/>
      <c r="I39" s="41"/>
      <c r="J39" s="40"/>
      <c r="L39" s="66"/>
      <c r="M39" s="41"/>
      <c r="N39" s="40"/>
      <c r="O39" s="40"/>
      <c r="P39" s="40"/>
      <c r="Q39" s="40"/>
      <c r="R39" s="75"/>
      <c r="S39" s="75"/>
    </row>
    <row r="40" spans="1:19" ht="15" x14ac:dyDescent="0.25">
      <c r="A40" s="28" t="s">
        <v>22</v>
      </c>
      <c r="B40" s="28"/>
      <c r="C40" s="32"/>
      <c r="D40" s="82">
        <f>SUM(D10:D38)</f>
        <v>76281.34</v>
      </c>
      <c r="E40" s="33"/>
      <c r="F40" s="32"/>
      <c r="H40" s="82">
        <f>H10+H16+H27+H38</f>
        <v>73432</v>
      </c>
      <c r="I40" s="33"/>
      <c r="J40" s="32"/>
      <c r="K40" s="32"/>
      <c r="L40" s="45">
        <f>+L10+L16+L21+L27+L38</f>
        <v>84840</v>
      </c>
      <c r="M40" s="33"/>
      <c r="N40" s="32"/>
      <c r="O40" s="32"/>
      <c r="P40" s="32"/>
      <c r="Q40" s="82">
        <f>SUM(Q10:Q39)</f>
        <v>71470.27</v>
      </c>
      <c r="R40" s="79"/>
      <c r="S40" s="75"/>
    </row>
    <row r="41" spans="1:19" ht="15" x14ac:dyDescent="0.25">
      <c r="A41" s="28"/>
      <c r="B41" s="28"/>
      <c r="C41" s="32"/>
      <c r="D41" s="32"/>
      <c r="E41" s="33"/>
      <c r="F41" s="32"/>
      <c r="G41" s="40"/>
      <c r="H41" s="40"/>
      <c r="I41" s="33"/>
      <c r="J41" s="32"/>
      <c r="K41" s="32"/>
      <c r="L41" s="173"/>
      <c r="M41" s="33"/>
      <c r="N41" s="32"/>
      <c r="O41" s="32"/>
      <c r="P41" s="32"/>
      <c r="Q41" s="32"/>
      <c r="R41" s="79"/>
      <c r="S41" s="96"/>
    </row>
    <row r="42" spans="1:19" ht="15" x14ac:dyDescent="0.25">
      <c r="A42" s="24"/>
      <c r="B42" s="24"/>
      <c r="C42" s="40"/>
      <c r="D42" s="40"/>
      <c r="E42" s="41"/>
      <c r="F42" s="40"/>
      <c r="G42" s="32"/>
      <c r="I42" s="41"/>
      <c r="J42" s="40"/>
      <c r="K42" s="40"/>
      <c r="M42" s="41"/>
      <c r="N42" s="40"/>
      <c r="O42" s="40"/>
      <c r="P42" s="40"/>
      <c r="Q42" s="40"/>
      <c r="R42" s="75"/>
      <c r="S42" s="83"/>
    </row>
    <row r="43" spans="1:19" ht="15" x14ac:dyDescent="0.25">
      <c r="A43" s="84" t="s">
        <v>23</v>
      </c>
      <c r="B43" s="84"/>
      <c r="C43" s="52"/>
      <c r="D43" s="52"/>
      <c r="E43" s="85"/>
      <c r="F43" s="52"/>
      <c r="G43" s="32"/>
      <c r="H43" s="32"/>
      <c r="I43" s="86"/>
      <c r="J43" s="52"/>
      <c r="K43" s="52"/>
      <c r="L43" s="52"/>
      <c r="M43" s="86"/>
      <c r="N43" s="52"/>
      <c r="O43" s="52"/>
      <c r="P43" s="52"/>
      <c r="Q43" s="52"/>
      <c r="R43" s="87"/>
      <c r="S43" s="88"/>
    </row>
    <row r="44" spans="1:19" ht="15" x14ac:dyDescent="0.25">
      <c r="A44" s="84"/>
      <c r="B44" s="84"/>
      <c r="C44" s="52"/>
      <c r="D44" s="52"/>
      <c r="E44" s="85"/>
      <c r="F44" s="52"/>
      <c r="G44" s="40"/>
      <c r="H44" s="40"/>
      <c r="I44" s="86"/>
      <c r="J44" s="52"/>
      <c r="K44" s="52"/>
      <c r="L44" s="52"/>
      <c r="M44" s="86"/>
      <c r="N44" s="52"/>
      <c r="O44" s="52"/>
      <c r="P44" s="52"/>
      <c r="Q44" s="52"/>
      <c r="R44" s="87"/>
      <c r="S44" s="88"/>
    </row>
    <row r="45" spans="1:19" ht="15" x14ac:dyDescent="0.25">
      <c r="A45" s="24" t="s">
        <v>85</v>
      </c>
      <c r="B45" s="24" t="s">
        <v>89</v>
      </c>
      <c r="C45" s="40">
        <f>+Admin!D14</f>
        <v>10933.320000000002</v>
      </c>
      <c r="D45" s="40"/>
      <c r="E45" s="41"/>
      <c r="F45" s="40"/>
      <c r="G45" s="40">
        <v>14042</v>
      </c>
      <c r="H45" s="40"/>
      <c r="I45" s="41"/>
      <c r="J45" s="40"/>
      <c r="K45" s="40">
        <v>9427</v>
      </c>
      <c r="L45" s="40"/>
      <c r="M45" s="41"/>
      <c r="N45" s="40"/>
      <c r="O45" s="40"/>
      <c r="P45" s="40">
        <v>12775.619999999999</v>
      </c>
      <c r="Q45" s="40"/>
      <c r="R45" s="75"/>
      <c r="S45" s="89"/>
    </row>
    <row r="46" spans="1:19" ht="15" x14ac:dyDescent="0.25">
      <c r="A46" s="24" t="s">
        <v>86</v>
      </c>
      <c r="B46" s="24" t="s">
        <v>89</v>
      </c>
      <c r="C46" s="40">
        <f>+Admin!D77</f>
        <v>19457.849999999999</v>
      </c>
      <c r="D46" s="40"/>
      <c r="E46" s="41"/>
      <c r="F46" s="40"/>
      <c r="G46" s="40">
        <v>21380</v>
      </c>
      <c r="H46" s="40"/>
      <c r="I46" s="41"/>
      <c r="J46" s="40"/>
      <c r="K46" s="40">
        <v>15611</v>
      </c>
      <c r="L46" s="40"/>
      <c r="M46" s="41"/>
      <c r="N46" s="40"/>
      <c r="O46" s="40"/>
      <c r="P46" s="40">
        <v>18740.89</v>
      </c>
      <c r="Q46" s="40"/>
      <c r="R46" s="75"/>
      <c r="S46" s="89"/>
    </row>
    <row r="47" spans="1:19" ht="15" x14ac:dyDescent="0.25">
      <c r="A47" s="24" t="s">
        <v>87</v>
      </c>
      <c r="B47" s="24" t="s">
        <v>89</v>
      </c>
      <c r="C47" s="40">
        <f>+Admin!D79</f>
        <v>9999.98</v>
      </c>
      <c r="D47" s="40"/>
      <c r="E47" s="41"/>
      <c r="F47" s="40"/>
      <c r="G47" s="40">
        <v>10000</v>
      </c>
      <c r="H47" s="40"/>
      <c r="I47" s="41"/>
      <c r="J47" s="40"/>
      <c r="K47" s="44">
        <v>9999.9600000000009</v>
      </c>
      <c r="L47" s="40"/>
      <c r="M47" s="41"/>
      <c r="N47" s="40"/>
      <c r="O47" s="40"/>
      <c r="P47" s="40">
        <v>9875.65</v>
      </c>
      <c r="Q47" s="40"/>
      <c r="R47" s="75"/>
      <c r="S47" s="89"/>
    </row>
    <row r="48" spans="1:19" ht="15" x14ac:dyDescent="0.25">
      <c r="A48" s="24" t="s">
        <v>88</v>
      </c>
      <c r="B48" s="24" t="s">
        <v>90</v>
      </c>
      <c r="C48" s="40">
        <f>+Enviro!D58</f>
        <v>32072.74</v>
      </c>
      <c r="D48" s="40"/>
      <c r="E48" s="41"/>
      <c r="F48" s="40"/>
      <c r="G48" s="40">
        <v>36515</v>
      </c>
      <c r="H48" s="40"/>
      <c r="I48" s="41"/>
      <c r="J48" s="40"/>
      <c r="K48" s="40">
        <v>27531</v>
      </c>
      <c r="L48" s="40"/>
      <c r="M48" s="41"/>
      <c r="N48" s="40"/>
      <c r="O48" s="40"/>
      <c r="P48" s="40">
        <v>27162.739999999998</v>
      </c>
      <c r="Q48" s="40"/>
      <c r="R48" s="75"/>
    </row>
    <row r="49" spans="1:19" ht="15" x14ac:dyDescent="0.25">
      <c r="A49" s="24" t="s">
        <v>224</v>
      </c>
      <c r="B49" s="24"/>
      <c r="C49" s="40">
        <v>0</v>
      </c>
      <c r="D49" s="40"/>
      <c r="E49" s="41"/>
      <c r="F49" s="40"/>
      <c r="G49" s="40">
        <v>1500</v>
      </c>
      <c r="H49" s="40"/>
      <c r="I49" s="41"/>
      <c r="J49" s="40"/>
      <c r="K49" s="40">
        <v>0</v>
      </c>
      <c r="L49" s="40"/>
      <c r="M49" s="41"/>
      <c r="N49" s="40"/>
      <c r="O49" s="40"/>
      <c r="P49" s="40"/>
      <c r="Q49" s="40"/>
      <c r="R49" s="75"/>
    </row>
    <row r="50" spans="1:19" ht="15" x14ac:dyDescent="0.25">
      <c r="A50" s="24" t="s">
        <v>1</v>
      </c>
      <c r="B50" s="24"/>
      <c r="C50" s="43">
        <f>+Expenditure!F212</f>
        <v>8692.869999999999</v>
      </c>
      <c r="D50" s="43"/>
      <c r="E50" s="41"/>
      <c r="F50" s="40"/>
      <c r="G50" s="43"/>
      <c r="H50" s="43"/>
      <c r="I50" s="41"/>
      <c r="J50" s="40"/>
      <c r="K50" s="43">
        <v>7549</v>
      </c>
      <c r="L50" s="43"/>
      <c r="M50" s="41"/>
      <c r="N50" s="40"/>
      <c r="O50" s="40"/>
      <c r="P50" s="42">
        <v>2763.1</v>
      </c>
      <c r="Q50" s="42"/>
      <c r="R50" s="75"/>
    </row>
    <row r="51" spans="1:19" ht="15" x14ac:dyDescent="0.25">
      <c r="A51" s="28" t="s">
        <v>24</v>
      </c>
      <c r="B51" s="28"/>
      <c r="C51" s="32"/>
      <c r="D51" s="82">
        <f>SUM(C45:C50)</f>
        <v>81156.759999999995</v>
      </c>
      <c r="E51" s="33"/>
      <c r="F51" s="32"/>
      <c r="G51" s="32"/>
      <c r="H51" s="82">
        <f>G45+G46+G47+G48+G49</f>
        <v>83437</v>
      </c>
      <c r="I51" s="33"/>
      <c r="J51" s="32"/>
      <c r="L51" s="82">
        <f>SUM(K45:K50)</f>
        <v>70117.959999999992</v>
      </c>
      <c r="M51" s="33"/>
      <c r="N51" s="32"/>
      <c r="O51" s="32"/>
      <c r="P51" s="51"/>
      <c r="Q51" s="90">
        <f>SUM(P45:P50)</f>
        <v>71318</v>
      </c>
      <c r="R51" s="79"/>
    </row>
    <row r="52" spans="1:19" ht="15" x14ac:dyDescent="0.25">
      <c r="A52" s="28"/>
      <c r="B52" s="28"/>
      <c r="C52" s="32"/>
      <c r="D52" s="32"/>
      <c r="E52" s="33"/>
      <c r="F52" s="32"/>
      <c r="G52" s="32"/>
      <c r="H52" s="32"/>
      <c r="I52" s="33"/>
      <c r="J52" s="32"/>
      <c r="L52" s="32"/>
      <c r="M52" s="33"/>
      <c r="N52" s="32"/>
      <c r="O52" s="32"/>
      <c r="P52" s="32"/>
      <c r="Q52" s="32"/>
      <c r="R52" s="79"/>
    </row>
    <row r="53" spans="1:19" ht="15" x14ac:dyDescent="0.25">
      <c r="A53" s="28" t="s">
        <v>25</v>
      </c>
      <c r="B53" s="28"/>
      <c r="C53" s="32" t="s">
        <v>465</v>
      </c>
      <c r="D53" s="82">
        <f>+D40-D51+1</f>
        <v>-4874.4199999999983</v>
      </c>
      <c r="E53" s="33"/>
      <c r="F53" s="32"/>
      <c r="G53" s="32"/>
      <c r="H53" s="82">
        <f>H40-H51</f>
        <v>-10005</v>
      </c>
      <c r="I53" s="33"/>
      <c r="J53" s="32"/>
      <c r="K53" s="32"/>
      <c r="L53" s="82">
        <f>+L40-L51</f>
        <v>14722.040000000008</v>
      </c>
      <c r="M53" s="33"/>
      <c r="N53" s="32"/>
      <c r="O53" s="32"/>
      <c r="P53" s="32"/>
      <c r="Q53" s="82">
        <f>+Q40-Q51</f>
        <v>152.27000000000407</v>
      </c>
      <c r="R53" s="79"/>
      <c r="S53" s="83"/>
    </row>
    <row r="54" spans="1:19" ht="15" x14ac:dyDescent="0.25">
      <c r="A54" s="28"/>
      <c r="B54" s="28"/>
      <c r="C54" s="32"/>
      <c r="D54" s="82"/>
      <c r="E54" s="33"/>
      <c r="F54" s="32"/>
      <c r="G54" s="32"/>
      <c r="H54" s="82"/>
      <c r="I54" s="33"/>
      <c r="J54" s="32"/>
      <c r="K54" s="32"/>
      <c r="L54" s="82"/>
      <c r="M54" s="33"/>
      <c r="N54" s="32"/>
      <c r="O54" s="32"/>
      <c r="P54" s="32"/>
      <c r="Q54" s="32"/>
      <c r="R54" s="79"/>
      <c r="S54" s="83"/>
    </row>
    <row r="55" spans="1:19" ht="15" x14ac:dyDescent="0.25">
      <c r="A55" s="24" t="s">
        <v>26</v>
      </c>
      <c r="B55" s="24"/>
      <c r="C55" s="40"/>
      <c r="D55" s="66">
        <v>74257.539999999994</v>
      </c>
      <c r="E55" s="41"/>
      <c r="F55" s="40"/>
      <c r="G55" s="40"/>
      <c r="H55" s="66">
        <v>65675</v>
      </c>
      <c r="I55" s="41"/>
      <c r="J55" s="40"/>
      <c r="K55" s="40"/>
      <c r="L55" s="32">
        <v>59535</v>
      </c>
      <c r="M55" s="41"/>
      <c r="N55" s="40"/>
      <c r="O55" s="32"/>
      <c r="P55" s="32"/>
      <c r="Q55" s="66">
        <v>46730.16</v>
      </c>
      <c r="R55" s="79"/>
      <c r="S55" s="91"/>
    </row>
    <row r="56" spans="1:19" ht="15.75" thickBot="1" x14ac:dyDescent="0.3">
      <c r="A56" s="28" t="s">
        <v>27</v>
      </c>
      <c r="B56" s="28"/>
      <c r="C56" s="32"/>
      <c r="D56" s="56">
        <f>+D55+D53</f>
        <v>69383.12</v>
      </c>
      <c r="E56" s="33"/>
      <c r="F56" s="32"/>
      <c r="G56" s="32"/>
      <c r="H56" s="56">
        <f>H53+H55</f>
        <v>55670</v>
      </c>
      <c r="I56" s="33"/>
      <c r="J56" s="32"/>
      <c r="K56" s="32"/>
      <c r="L56" s="56">
        <f>+L53+L55</f>
        <v>74257.040000000008</v>
      </c>
      <c r="M56" s="33"/>
      <c r="N56" s="32"/>
      <c r="O56" s="32"/>
      <c r="P56" s="32"/>
      <c r="Q56" s="82">
        <f>+Q55+Q53</f>
        <v>46882.430000000008</v>
      </c>
      <c r="R56" s="79"/>
    </row>
    <row r="57" spans="1:19" ht="15" x14ac:dyDescent="0.25">
      <c r="A57" s="28"/>
      <c r="B57" s="28"/>
      <c r="C57" s="32"/>
      <c r="D57" s="32"/>
      <c r="E57" s="33"/>
      <c r="F57" s="32"/>
      <c r="I57" s="33"/>
      <c r="J57" s="32"/>
      <c r="K57" s="32"/>
      <c r="M57" s="33"/>
      <c r="N57" s="32"/>
      <c r="O57" s="32"/>
      <c r="P57" s="32"/>
      <c r="Q57" s="32"/>
      <c r="R57" s="79"/>
      <c r="S57" s="88"/>
    </row>
    <row r="58" spans="1:19" s="75" customFormat="1" ht="15" x14ac:dyDescent="0.25">
      <c r="A58" s="55" t="s">
        <v>28</v>
      </c>
      <c r="B58" s="55"/>
      <c r="C58" s="46"/>
      <c r="D58" s="46"/>
      <c r="E58" s="33"/>
      <c r="F58" s="46"/>
      <c r="G58" s="46"/>
      <c r="H58" s="46"/>
      <c r="I58" s="33"/>
      <c r="J58" s="46"/>
      <c r="K58" s="46"/>
      <c r="L58" s="46"/>
      <c r="M58" s="33"/>
      <c r="N58" s="46"/>
      <c r="O58" s="46"/>
      <c r="P58" s="46"/>
      <c r="Q58" s="46"/>
      <c r="R58" s="79"/>
    </row>
    <row r="59" spans="1:19" s="75" customFormat="1" ht="15" x14ac:dyDescent="0.25">
      <c r="A59" s="92" t="s">
        <v>163</v>
      </c>
      <c r="B59" s="92"/>
      <c r="C59" s="40">
        <v>3394.18</v>
      </c>
      <c r="D59" s="53"/>
      <c r="E59" s="54"/>
      <c r="F59" s="53"/>
      <c r="G59" s="40">
        <v>1000</v>
      </c>
      <c r="H59" s="53"/>
      <c r="I59" s="54"/>
      <c r="J59" s="53"/>
      <c r="K59" s="209">
        <v>7456</v>
      </c>
      <c r="L59" s="53"/>
      <c r="M59" s="54"/>
      <c r="N59" s="53"/>
      <c r="O59" s="53"/>
      <c r="P59" s="40">
        <v>1941.2</v>
      </c>
      <c r="Q59" s="53"/>
      <c r="R59" s="93"/>
    </row>
    <row r="60" spans="1:19" s="75" customFormat="1" ht="15" x14ac:dyDescent="0.25">
      <c r="A60" s="92" t="s">
        <v>164</v>
      </c>
      <c r="B60" s="92"/>
      <c r="C60" s="53">
        <v>10923.33</v>
      </c>
      <c r="D60" s="53"/>
      <c r="E60" s="54"/>
      <c r="F60" s="53"/>
      <c r="G60" s="40">
        <v>10670</v>
      </c>
      <c r="H60" s="53"/>
      <c r="I60" s="54"/>
      <c r="J60" s="53"/>
      <c r="K60" s="209">
        <v>10879</v>
      </c>
      <c r="L60" s="53"/>
      <c r="M60" s="54"/>
      <c r="N60" s="53"/>
      <c r="O60" s="53"/>
      <c r="P60" s="40">
        <v>11438.65</v>
      </c>
      <c r="Q60" s="53"/>
      <c r="R60" s="93"/>
    </row>
    <row r="61" spans="1:19" s="75" customFormat="1" ht="15" x14ac:dyDescent="0.25">
      <c r="A61" s="92" t="s">
        <v>361</v>
      </c>
      <c r="B61" s="92"/>
      <c r="C61" s="40">
        <v>54058.720000000001</v>
      </c>
      <c r="D61" s="53"/>
      <c r="E61" s="54"/>
      <c r="F61" s="53"/>
      <c r="G61" s="40">
        <v>42000</v>
      </c>
      <c r="H61" s="53"/>
      <c r="I61" s="54"/>
      <c r="J61" s="53"/>
      <c r="K61" s="210">
        <v>53922</v>
      </c>
      <c r="L61" s="53"/>
      <c r="M61" s="54"/>
      <c r="N61" s="53"/>
      <c r="O61" s="53"/>
      <c r="P61" s="40">
        <v>31502.58</v>
      </c>
      <c r="Q61" s="53"/>
      <c r="R61" s="93"/>
    </row>
    <row r="62" spans="1:19" s="75" customFormat="1" ht="15" x14ac:dyDescent="0.25">
      <c r="A62" s="92" t="s">
        <v>29</v>
      </c>
      <c r="B62" s="92"/>
      <c r="C62" s="94">
        <v>2000</v>
      </c>
      <c r="D62" s="94"/>
      <c r="E62" s="54"/>
      <c r="F62" s="53"/>
      <c r="G62" s="43">
        <v>2000</v>
      </c>
      <c r="H62" s="94"/>
      <c r="I62" s="54"/>
      <c r="J62" s="53"/>
      <c r="K62" s="211">
        <v>2000</v>
      </c>
      <c r="L62" s="94"/>
      <c r="M62" s="54"/>
      <c r="N62" s="53"/>
      <c r="O62" s="53"/>
      <c r="P62" s="53">
        <v>2000</v>
      </c>
      <c r="Q62" s="53"/>
      <c r="R62" s="93"/>
    </row>
    <row r="63" spans="1:19" s="75" customFormat="1" ht="15" x14ac:dyDescent="0.25">
      <c r="A63" s="95"/>
      <c r="B63" s="95"/>
      <c r="C63" s="44"/>
      <c r="D63" s="82">
        <f>SUM(C59:C62)</f>
        <v>70376.23</v>
      </c>
      <c r="E63" s="41"/>
      <c r="F63" s="44"/>
      <c r="G63" s="44"/>
      <c r="H63" s="82">
        <f>SUM(G59:G62)</f>
        <v>55670</v>
      </c>
      <c r="I63" s="41"/>
      <c r="J63" s="44"/>
      <c r="L63" s="82">
        <f>K59+K60+K61+K62</f>
        <v>74257</v>
      </c>
      <c r="M63" s="41"/>
      <c r="N63" s="44"/>
      <c r="O63" s="44"/>
      <c r="P63" s="44"/>
      <c r="Q63" s="82">
        <f>SUM(P59:P62)</f>
        <v>46882.43</v>
      </c>
    </row>
    <row r="64" spans="1:19" s="75" customFormat="1" x14ac:dyDescent="0.2">
      <c r="I64" s="70"/>
      <c r="P64" s="96"/>
      <c r="Q64" s="97"/>
    </row>
    <row r="65" spans="4:12" x14ac:dyDescent="0.2">
      <c r="D65" s="89"/>
      <c r="L65" s="89"/>
    </row>
    <row r="66" spans="4:12" x14ac:dyDescent="0.2">
      <c r="D66" s="89">
        <f>+D56-D63</f>
        <v>-993.11000000000058</v>
      </c>
      <c r="G66" s="220" t="s">
        <v>310</v>
      </c>
      <c r="H66" s="221"/>
      <c r="I66" s="220"/>
      <c r="J66" s="192"/>
      <c r="K66" s="192"/>
      <c r="L66" s="193"/>
    </row>
    <row r="67" spans="4:12" x14ac:dyDescent="0.2">
      <c r="G67" s="220" t="s">
        <v>309</v>
      </c>
      <c r="H67" s="220"/>
      <c r="I67" s="220"/>
      <c r="J67" s="192"/>
      <c r="K67" s="192"/>
      <c r="L67" s="193"/>
    </row>
    <row r="71" spans="4:12" x14ac:dyDescent="0.2">
      <c r="D71" s="89"/>
    </row>
  </sheetData>
  <mergeCells count="10">
    <mergeCell ref="C6:D6"/>
    <mergeCell ref="G6:H6"/>
    <mergeCell ref="K6:L6"/>
    <mergeCell ref="P6:Q6"/>
    <mergeCell ref="A1:R1"/>
    <mergeCell ref="A3:R3"/>
    <mergeCell ref="G5:H5"/>
    <mergeCell ref="K5:L5"/>
    <mergeCell ref="P5:Q5"/>
    <mergeCell ref="C5:D5"/>
  </mergeCells>
  <pageMargins left="0.59055118110236227" right="0.59055118110236227" top="0.59055118110236227" bottom="0.59055118110236227" header="0.31496062992125984" footer="0.31496062992125984"/>
  <pageSetup paperSize="9" scale="66" orientation="portrait" r:id="rId1"/>
  <headerFooter>
    <oddFooter>&amp;C&amp;"Garamond,Regular"&amp;F&amp;R&amp;"Garamond,Regular"Page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6"/>
  <sheetViews>
    <sheetView tabSelected="1" topLeftCell="A52" zoomScale="80" zoomScaleNormal="80" workbookViewId="0">
      <selection activeCell="C45" sqref="C45"/>
    </sheetView>
  </sheetViews>
  <sheetFormatPr defaultRowHeight="12.75" x14ac:dyDescent="0.2"/>
  <cols>
    <col min="1" max="1" width="39.5703125" style="22" customWidth="1"/>
    <col min="2" max="2" width="3.7109375" style="22" customWidth="1"/>
    <col min="3" max="3" width="9.7109375" style="22" customWidth="1"/>
    <col min="4" max="4" width="10.140625" style="22" bestFit="1" customWidth="1"/>
    <col min="5" max="5" width="3.7109375" style="22" customWidth="1"/>
    <col min="6" max="6" width="3.5703125" style="1" customWidth="1"/>
    <col min="7" max="8" width="9.7109375" style="2" customWidth="1"/>
    <col min="9" max="9" width="3.5703125" style="2" customWidth="1"/>
    <col min="10" max="10" width="3.7109375" style="2" customWidth="1"/>
    <col min="11" max="12" width="9.7109375" style="2" customWidth="1"/>
    <col min="13" max="13" width="3.7109375" style="2" customWidth="1"/>
    <col min="14" max="14" width="3.5703125" style="1" hidden="1" customWidth="1"/>
    <col min="15" max="15" width="4.42578125" style="22" hidden="1" customWidth="1"/>
    <col min="16" max="17" width="9.7109375" style="58" hidden="1" customWidth="1"/>
    <col min="18" max="18" width="4.42578125" style="22" hidden="1" customWidth="1"/>
    <col min="19" max="20" width="9.140625" style="21"/>
    <col min="21" max="16384" width="9.140625" style="22"/>
  </cols>
  <sheetData>
    <row r="1" spans="1:20" s="5" customFormat="1" ht="18.75" x14ac:dyDescent="0.3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3"/>
      <c r="T1" s="4"/>
    </row>
    <row r="2" spans="1:20" s="5" customFormat="1" x14ac:dyDescent="0.2">
      <c r="F2" s="6"/>
      <c r="G2" s="7"/>
      <c r="H2" s="7"/>
      <c r="I2" s="7"/>
      <c r="J2" s="7"/>
      <c r="K2" s="7"/>
      <c r="L2" s="7"/>
      <c r="M2" s="7"/>
      <c r="N2" s="6"/>
      <c r="P2" s="8"/>
      <c r="Q2" s="8"/>
      <c r="S2" s="4"/>
      <c r="T2" s="4"/>
    </row>
    <row r="3" spans="1:20" s="11" customFormat="1" ht="15.75" x14ac:dyDescent="0.25">
      <c r="A3" s="288" t="s">
        <v>187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9"/>
      <c r="T3" s="10"/>
    </row>
    <row r="4" spans="1:20" s="16" customFormat="1" ht="15.75" x14ac:dyDescent="0.25">
      <c r="A4" s="12"/>
      <c r="B4" s="12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3"/>
      <c r="O4" s="12"/>
      <c r="P4" s="15"/>
      <c r="Q4" s="15"/>
      <c r="S4" s="17"/>
      <c r="T4" s="17"/>
    </row>
    <row r="5" spans="1:20" ht="15" x14ac:dyDescent="0.25">
      <c r="A5" s="12"/>
      <c r="B5" s="12"/>
      <c r="C5" s="286" t="s">
        <v>464</v>
      </c>
      <c r="D5" s="286"/>
      <c r="E5" s="23"/>
      <c r="F5" s="24"/>
      <c r="G5" s="286" t="s">
        <v>7</v>
      </c>
      <c r="H5" s="286"/>
      <c r="I5" s="19"/>
      <c r="J5" s="24"/>
      <c r="K5" s="286" t="s">
        <v>81</v>
      </c>
      <c r="L5" s="286"/>
      <c r="M5" s="19"/>
      <c r="N5" s="13"/>
      <c r="O5" s="12"/>
      <c r="P5" s="286" t="s">
        <v>81</v>
      </c>
      <c r="Q5" s="286"/>
      <c r="R5" s="20"/>
    </row>
    <row r="6" spans="1:20" ht="15" x14ac:dyDescent="0.25">
      <c r="A6" s="12"/>
      <c r="B6" s="12"/>
      <c r="C6" s="285" t="s">
        <v>186</v>
      </c>
      <c r="D6" s="285"/>
      <c r="E6" s="23"/>
      <c r="F6" s="24"/>
      <c r="G6" s="284" t="s">
        <v>186</v>
      </c>
      <c r="H6" s="284"/>
      <c r="I6" s="19"/>
      <c r="J6" s="24"/>
      <c r="K6" s="285" t="s">
        <v>168</v>
      </c>
      <c r="L6" s="285"/>
      <c r="M6" s="25"/>
      <c r="N6" s="24"/>
      <c r="O6" s="12"/>
      <c r="P6" s="286" t="s">
        <v>8</v>
      </c>
      <c r="Q6" s="286"/>
      <c r="R6" s="20"/>
    </row>
    <row r="7" spans="1:20" ht="15" x14ac:dyDescent="0.25">
      <c r="A7" s="12"/>
      <c r="B7" s="12"/>
      <c r="C7" s="26" t="s">
        <v>9</v>
      </c>
      <c r="D7" s="26" t="s">
        <v>9</v>
      </c>
      <c r="E7" s="27"/>
      <c r="F7" s="28"/>
      <c r="G7" s="26" t="s">
        <v>9</v>
      </c>
      <c r="H7" s="26" t="s">
        <v>9</v>
      </c>
      <c r="I7" s="19"/>
      <c r="J7" s="29"/>
      <c r="K7" s="26" t="s">
        <v>9</v>
      </c>
      <c r="L7" s="26" t="s">
        <v>9</v>
      </c>
      <c r="M7" s="19"/>
      <c r="N7" s="28"/>
      <c r="O7" s="30"/>
      <c r="P7" s="26" t="s">
        <v>9</v>
      </c>
      <c r="Q7" s="26" t="s">
        <v>9</v>
      </c>
      <c r="R7" s="20"/>
    </row>
    <row r="8" spans="1:20" ht="15.75" x14ac:dyDescent="0.25">
      <c r="A8" s="30"/>
      <c r="B8" s="30"/>
      <c r="C8" s="31"/>
      <c r="D8" s="31"/>
      <c r="E8" s="27"/>
      <c r="F8" s="28"/>
      <c r="G8" s="31"/>
      <c r="H8" s="31"/>
      <c r="I8" s="33"/>
      <c r="J8" s="32"/>
      <c r="K8" s="172"/>
      <c r="L8" s="172"/>
      <c r="M8" s="33"/>
      <c r="N8" s="28"/>
      <c r="O8" s="30"/>
      <c r="P8" s="31"/>
      <c r="Q8" s="31"/>
      <c r="R8" s="34"/>
    </row>
    <row r="9" spans="1:20" ht="15" x14ac:dyDescent="0.25">
      <c r="A9" s="30" t="s">
        <v>30</v>
      </c>
      <c r="B9" s="30"/>
      <c r="C9" s="31"/>
      <c r="D9" s="31"/>
      <c r="E9" s="35"/>
      <c r="F9" s="36"/>
      <c r="G9" s="31"/>
      <c r="H9" s="31"/>
      <c r="I9" s="37"/>
      <c r="J9" s="14"/>
      <c r="K9" s="174"/>
      <c r="L9" s="174"/>
      <c r="M9" s="37"/>
      <c r="N9" s="36"/>
      <c r="O9" s="31"/>
      <c r="P9" s="15"/>
      <c r="Q9" s="15"/>
      <c r="R9" s="38"/>
    </row>
    <row r="10" spans="1:20" ht="15" x14ac:dyDescent="0.25">
      <c r="A10" s="12" t="s">
        <v>31</v>
      </c>
      <c r="B10" s="12"/>
      <c r="C10" s="15">
        <f>+Expenditure!H212</f>
        <v>10501.660000000002</v>
      </c>
      <c r="D10" s="15"/>
      <c r="E10" s="39"/>
      <c r="F10" s="40"/>
      <c r="G10" s="15">
        <v>12126</v>
      </c>
      <c r="H10" s="15"/>
      <c r="I10" s="41"/>
      <c r="J10" s="40"/>
      <c r="K10" s="40">
        <v>9012</v>
      </c>
      <c r="L10" s="175"/>
      <c r="M10" s="41"/>
      <c r="N10" s="40"/>
      <c r="O10" s="15"/>
      <c r="P10" s="15">
        <f>12805.82-850.54</f>
        <v>11955.279999999999</v>
      </c>
      <c r="Q10" s="15"/>
      <c r="R10" s="20"/>
    </row>
    <row r="11" spans="1:20" ht="15" x14ac:dyDescent="0.25">
      <c r="A11" s="12" t="s">
        <v>32</v>
      </c>
      <c r="B11" s="12"/>
      <c r="C11" s="15">
        <f>+Expenditure!I212</f>
        <v>431.66</v>
      </c>
      <c r="D11" s="15"/>
      <c r="E11" s="39"/>
      <c r="F11" s="32"/>
      <c r="G11" s="15">
        <v>886</v>
      </c>
      <c r="H11" s="15"/>
      <c r="I11" s="41"/>
      <c r="J11" s="40"/>
      <c r="K11" s="40">
        <v>415</v>
      </c>
      <c r="L11" s="175"/>
      <c r="M11" s="41"/>
      <c r="N11" s="32"/>
      <c r="O11" s="15"/>
      <c r="P11" s="15">
        <v>820.34</v>
      </c>
      <c r="Q11" s="15"/>
      <c r="R11" s="20"/>
    </row>
    <row r="12" spans="1:20" ht="15" x14ac:dyDescent="0.25">
      <c r="A12" s="12" t="s">
        <v>188</v>
      </c>
      <c r="B12" s="12"/>
      <c r="C12" s="15"/>
      <c r="D12" s="15"/>
      <c r="E12" s="39"/>
      <c r="F12" s="32"/>
      <c r="G12" s="15">
        <v>1030</v>
      </c>
      <c r="H12" s="15"/>
      <c r="I12" s="41"/>
      <c r="J12" s="40"/>
      <c r="K12" s="40">
        <v>0</v>
      </c>
      <c r="L12" s="175"/>
      <c r="M12" s="41"/>
      <c r="N12" s="32"/>
      <c r="O12" s="15"/>
      <c r="P12" s="15"/>
      <c r="Q12" s="15"/>
      <c r="R12" s="20"/>
    </row>
    <row r="13" spans="1:20" ht="15" x14ac:dyDescent="0.25">
      <c r="A13" s="12" t="s">
        <v>33</v>
      </c>
      <c r="B13" s="12"/>
      <c r="C13" s="42"/>
      <c r="D13" s="42"/>
      <c r="E13" s="39"/>
      <c r="F13" s="32"/>
      <c r="G13" s="42"/>
      <c r="H13" s="42"/>
      <c r="I13" s="41"/>
      <c r="J13" s="44"/>
      <c r="K13" s="43"/>
      <c r="L13" s="43"/>
      <c r="M13" s="41"/>
      <c r="N13" s="32"/>
      <c r="O13" s="15"/>
      <c r="P13" s="42"/>
      <c r="Q13" s="15"/>
      <c r="R13" s="20"/>
    </row>
    <row r="14" spans="1:20" s="50" customFormat="1" ht="15" x14ac:dyDescent="0.25">
      <c r="A14" s="30" t="s">
        <v>34</v>
      </c>
      <c r="B14" s="30"/>
      <c r="C14" s="32"/>
      <c r="D14" s="45">
        <f>SUM(C10:C13)</f>
        <v>10933.320000000002</v>
      </c>
      <c r="E14" s="35"/>
      <c r="F14" s="32"/>
      <c r="G14" s="32"/>
      <c r="H14" s="45">
        <f>SUM(G10:G13)</f>
        <v>14042</v>
      </c>
      <c r="I14" s="33"/>
      <c r="J14" s="46"/>
      <c r="K14" s="32"/>
      <c r="L14" s="45">
        <f>K10+K11+K12</f>
        <v>9427</v>
      </c>
      <c r="M14" s="33"/>
      <c r="N14" s="32"/>
      <c r="O14" s="31"/>
      <c r="P14" s="47"/>
      <c r="Q14" s="48">
        <f>SUM(P10:P13)</f>
        <v>12775.619999999999</v>
      </c>
      <c r="R14" s="38"/>
      <c r="S14" s="49"/>
      <c r="T14" s="49"/>
    </row>
    <row r="15" spans="1:20" ht="15" x14ac:dyDescent="0.25">
      <c r="A15" s="12"/>
      <c r="B15" s="12"/>
      <c r="C15" s="15"/>
      <c r="D15" s="15"/>
      <c r="E15" s="39"/>
      <c r="F15" s="40"/>
      <c r="G15" s="15"/>
      <c r="H15" s="15"/>
      <c r="I15" s="41"/>
      <c r="J15" s="40"/>
      <c r="K15" s="40"/>
      <c r="L15" s="175"/>
      <c r="M15" s="41"/>
      <c r="N15" s="40"/>
      <c r="O15" s="15"/>
      <c r="P15" s="15"/>
      <c r="Q15" s="15"/>
      <c r="R15" s="20"/>
    </row>
    <row r="16" spans="1:20" ht="15" x14ac:dyDescent="0.25">
      <c r="A16" s="30" t="s">
        <v>35</v>
      </c>
      <c r="B16" s="30"/>
      <c r="C16" s="15">
        <f>+Expenditure!J212</f>
        <v>44.8</v>
      </c>
      <c r="D16" s="15"/>
      <c r="E16" s="35"/>
      <c r="F16" s="40"/>
      <c r="G16" s="15">
        <v>50</v>
      </c>
      <c r="H16" s="15"/>
      <c r="I16" s="41"/>
      <c r="J16" s="40"/>
      <c r="K16" s="40">
        <v>0</v>
      </c>
      <c r="L16" s="175"/>
      <c r="M16" s="41"/>
      <c r="N16" s="40"/>
      <c r="O16" s="31"/>
      <c r="P16" s="15">
        <v>44.64</v>
      </c>
      <c r="Q16" s="15"/>
      <c r="R16" s="38"/>
    </row>
    <row r="17" spans="1:18" s="22" customFormat="1" ht="15" x14ac:dyDescent="0.25">
      <c r="A17" s="12"/>
      <c r="B17" s="12"/>
      <c r="C17" s="15"/>
      <c r="D17" s="15"/>
      <c r="E17" s="39"/>
      <c r="F17" s="40"/>
      <c r="G17" s="15"/>
      <c r="H17" s="15"/>
      <c r="I17" s="41"/>
      <c r="J17" s="40"/>
      <c r="K17" s="40"/>
      <c r="L17" s="175"/>
      <c r="M17" s="41"/>
      <c r="N17" s="40"/>
      <c r="O17" s="15"/>
      <c r="P17" s="15"/>
      <c r="Q17" s="15"/>
      <c r="R17" s="20"/>
    </row>
    <row r="18" spans="1:18" s="22" customFormat="1" ht="15" x14ac:dyDescent="0.25">
      <c r="A18" s="30" t="s">
        <v>36</v>
      </c>
      <c r="B18" s="30"/>
      <c r="C18" s="15"/>
      <c r="D18" s="15"/>
      <c r="E18" s="35"/>
      <c r="F18" s="40"/>
      <c r="G18" s="44">
        <v>500</v>
      </c>
      <c r="H18" s="15"/>
      <c r="I18" s="41"/>
      <c r="J18" s="44"/>
      <c r="K18" s="44">
        <v>0</v>
      </c>
      <c r="L18" s="175"/>
      <c r="M18" s="41"/>
      <c r="N18" s="40"/>
      <c r="O18" s="31"/>
      <c r="P18" s="15">
        <f>60+30+60</f>
        <v>150</v>
      </c>
      <c r="Q18" s="15"/>
      <c r="R18" s="38"/>
    </row>
    <row r="19" spans="1:18" s="22" customFormat="1" ht="15" x14ac:dyDescent="0.25">
      <c r="A19" s="12"/>
      <c r="B19" s="12"/>
      <c r="C19" s="15"/>
      <c r="D19" s="15"/>
      <c r="E19" s="39"/>
      <c r="F19" s="40"/>
      <c r="G19" s="44"/>
      <c r="H19" s="15"/>
      <c r="I19" s="41"/>
      <c r="J19" s="44"/>
      <c r="K19" s="44"/>
      <c r="L19" s="175"/>
      <c r="M19" s="41"/>
      <c r="N19" s="40"/>
      <c r="O19" s="15"/>
      <c r="P19" s="15"/>
      <c r="Q19" s="15"/>
      <c r="R19" s="20"/>
    </row>
    <row r="20" spans="1:18" s="22" customFormat="1" ht="15" x14ac:dyDescent="0.25">
      <c r="A20" s="30" t="s">
        <v>37</v>
      </c>
      <c r="B20" s="30"/>
      <c r="C20" s="15">
        <f>+Expenditure!L212+Expenditure!Q202</f>
        <v>512.49</v>
      </c>
      <c r="D20" s="15"/>
      <c r="E20" s="35"/>
      <c r="F20" s="32"/>
      <c r="G20" s="44">
        <v>250</v>
      </c>
      <c r="H20" s="15"/>
      <c r="I20" s="41"/>
      <c r="J20" s="44"/>
      <c r="K20" s="44">
        <v>262</v>
      </c>
      <c r="L20" s="175"/>
      <c r="M20" s="41"/>
      <c r="N20" s="32"/>
      <c r="O20" s="31"/>
      <c r="P20" s="15">
        <v>1455.72</v>
      </c>
      <c r="Q20" s="15"/>
      <c r="R20" s="38"/>
    </row>
    <row r="21" spans="1:18" s="22" customFormat="1" ht="15" x14ac:dyDescent="0.25">
      <c r="A21" s="30"/>
      <c r="B21" s="30"/>
      <c r="C21" s="15"/>
      <c r="D21" s="15"/>
      <c r="E21" s="35"/>
      <c r="F21" s="40"/>
      <c r="G21" s="44"/>
      <c r="H21" s="15"/>
      <c r="I21" s="41"/>
      <c r="J21" s="44"/>
      <c r="K21" s="44"/>
      <c r="L21" s="175"/>
      <c r="M21" s="41"/>
      <c r="N21" s="40"/>
      <c r="O21" s="31"/>
      <c r="P21" s="15"/>
      <c r="Q21" s="15"/>
      <c r="R21" s="38"/>
    </row>
    <row r="22" spans="1:18" s="22" customFormat="1" ht="15" x14ac:dyDescent="0.25">
      <c r="A22" s="30" t="s">
        <v>5</v>
      </c>
      <c r="B22" s="30"/>
      <c r="C22" s="15">
        <f>+Expenditure!M212</f>
        <v>1059</v>
      </c>
      <c r="D22" s="15"/>
      <c r="E22" s="35"/>
      <c r="F22" s="40"/>
      <c r="G22" s="44">
        <v>1500</v>
      </c>
      <c r="H22" s="15"/>
      <c r="I22" s="41"/>
      <c r="J22" s="44"/>
      <c r="K22" s="44">
        <v>1370</v>
      </c>
      <c r="L22" s="175"/>
      <c r="M22" s="41"/>
      <c r="N22" s="40"/>
      <c r="O22" s="31"/>
      <c r="P22" s="15">
        <f>217.5-27+42+28</f>
        <v>260.5</v>
      </c>
      <c r="Q22" s="15"/>
      <c r="R22" s="38"/>
    </row>
    <row r="23" spans="1:18" s="22" customFormat="1" ht="15" x14ac:dyDescent="0.25">
      <c r="A23" s="12"/>
      <c r="B23" s="12"/>
      <c r="C23" s="15"/>
      <c r="D23" s="15"/>
      <c r="E23" s="39"/>
      <c r="F23" s="40"/>
      <c r="G23" s="44"/>
      <c r="H23" s="15"/>
      <c r="I23" s="41"/>
      <c r="J23" s="44"/>
      <c r="K23" s="44"/>
      <c r="L23" s="175"/>
      <c r="M23" s="41"/>
      <c r="N23" s="40"/>
      <c r="O23" s="15"/>
      <c r="P23" s="15"/>
      <c r="Q23" s="15"/>
      <c r="R23" s="20"/>
    </row>
    <row r="24" spans="1:18" s="22" customFormat="1" ht="15" x14ac:dyDescent="0.25">
      <c r="A24" s="30" t="s">
        <v>38</v>
      </c>
      <c r="B24" s="30"/>
      <c r="C24" s="15"/>
      <c r="D24" s="15"/>
      <c r="E24" s="35"/>
      <c r="F24" s="40"/>
      <c r="G24" s="44"/>
      <c r="H24" s="15"/>
      <c r="I24" s="41"/>
      <c r="J24" s="44"/>
      <c r="K24" s="44"/>
      <c r="L24" s="176"/>
      <c r="M24" s="41"/>
      <c r="N24" s="40"/>
      <c r="O24" s="31"/>
      <c r="P24" s="15"/>
      <c r="Q24" s="15"/>
      <c r="R24" s="38"/>
    </row>
    <row r="25" spans="1:18" s="22" customFormat="1" ht="15" x14ac:dyDescent="0.25">
      <c r="A25" s="12" t="s">
        <v>39</v>
      </c>
      <c r="B25" s="12"/>
      <c r="C25" s="15">
        <f>+Expenditure!N212</f>
        <v>0</v>
      </c>
      <c r="D25" s="15"/>
      <c r="E25" s="39"/>
      <c r="F25" s="40"/>
      <c r="G25" s="44">
        <v>2000</v>
      </c>
      <c r="H25" s="15"/>
      <c r="I25" s="41"/>
      <c r="J25" s="44"/>
      <c r="K25" s="44">
        <v>1484</v>
      </c>
      <c r="L25" s="176"/>
      <c r="M25" s="41"/>
      <c r="N25" s="40"/>
      <c r="O25" s="15"/>
      <c r="P25" s="15">
        <f>4231.5+2370.47</f>
        <v>6601.9699999999993</v>
      </c>
      <c r="Q25" s="15"/>
      <c r="R25" s="20"/>
    </row>
    <row r="26" spans="1:18" s="22" customFormat="1" ht="15" x14ac:dyDescent="0.25">
      <c r="A26" s="12"/>
      <c r="B26" s="12"/>
      <c r="C26" s="15"/>
      <c r="D26" s="15"/>
      <c r="E26" s="39"/>
      <c r="F26" s="40"/>
      <c r="G26" s="15"/>
      <c r="H26" s="15"/>
      <c r="I26" s="41"/>
      <c r="J26" s="44"/>
      <c r="K26" s="44"/>
      <c r="L26" s="176"/>
      <c r="M26" s="41"/>
      <c r="N26" s="40"/>
      <c r="O26" s="15"/>
      <c r="P26" s="51"/>
      <c r="Q26" s="51"/>
      <c r="R26" s="20"/>
    </row>
    <row r="27" spans="1:18" s="22" customFormat="1" ht="15" x14ac:dyDescent="0.25">
      <c r="A27" s="30" t="s">
        <v>40</v>
      </c>
      <c r="B27" s="30"/>
      <c r="C27" s="15"/>
      <c r="D27" s="15"/>
      <c r="E27" s="35"/>
      <c r="F27" s="40"/>
      <c r="G27" s="15"/>
      <c r="H27" s="15"/>
      <c r="I27" s="41"/>
      <c r="J27" s="44"/>
      <c r="K27" s="44"/>
      <c r="L27" s="176"/>
      <c r="M27" s="41"/>
      <c r="N27" s="40"/>
      <c r="O27" s="31"/>
      <c r="P27" s="15"/>
      <c r="Q27" s="15"/>
      <c r="R27" s="38"/>
    </row>
    <row r="28" spans="1:18" s="22" customFormat="1" ht="15" x14ac:dyDescent="0.25">
      <c r="A28" s="12" t="s">
        <v>41</v>
      </c>
      <c r="B28" s="12"/>
      <c r="C28" s="15">
        <f>+Expenditure!O212</f>
        <v>3000</v>
      </c>
      <c r="D28" s="15"/>
      <c r="E28" s="39"/>
      <c r="F28" s="40"/>
      <c r="G28" s="15">
        <v>3000</v>
      </c>
      <c r="H28" s="15"/>
      <c r="I28" s="41"/>
      <c r="J28" s="44"/>
      <c r="K28" s="44">
        <v>3000</v>
      </c>
      <c r="L28" s="176"/>
      <c r="M28" s="41"/>
      <c r="N28" s="40"/>
      <c r="O28" s="15"/>
      <c r="P28" s="15">
        <v>200</v>
      </c>
      <c r="Q28" s="15"/>
      <c r="R28" s="20"/>
    </row>
    <row r="29" spans="1:18" s="22" customFormat="1" ht="15" x14ac:dyDescent="0.25">
      <c r="A29" s="12" t="s">
        <v>42</v>
      </c>
      <c r="B29" s="12"/>
      <c r="C29" s="15"/>
      <c r="D29" s="15"/>
      <c r="E29" s="39"/>
      <c r="F29" s="40"/>
      <c r="G29" s="15"/>
      <c r="H29" s="15"/>
      <c r="I29" s="41"/>
      <c r="J29" s="44"/>
      <c r="K29" s="176"/>
      <c r="L29" s="176"/>
      <c r="M29" s="41"/>
      <c r="N29" s="40"/>
      <c r="O29" s="15"/>
      <c r="P29" s="51"/>
      <c r="Q29" s="15"/>
      <c r="R29" s="20"/>
    </row>
    <row r="30" spans="1:18" s="22" customFormat="1" ht="15" x14ac:dyDescent="0.25">
      <c r="A30" s="12" t="s">
        <v>423</v>
      </c>
      <c r="B30" s="12"/>
      <c r="C30" s="15"/>
      <c r="D30" s="15"/>
      <c r="E30" s="39"/>
      <c r="F30" s="40"/>
      <c r="G30" s="15">
        <v>100</v>
      </c>
      <c r="H30" s="15"/>
      <c r="I30" s="41"/>
      <c r="J30" s="44"/>
      <c r="K30" s="44"/>
      <c r="L30" s="176"/>
      <c r="M30" s="41"/>
      <c r="N30" s="40"/>
      <c r="O30" s="15"/>
      <c r="P30" s="51"/>
      <c r="Q30" s="15"/>
      <c r="R30" s="20"/>
    </row>
    <row r="31" spans="1:18" s="22" customFormat="1" ht="15" x14ac:dyDescent="0.25">
      <c r="A31" s="12"/>
      <c r="B31" s="12"/>
      <c r="C31" s="15"/>
      <c r="D31" s="15"/>
      <c r="E31" s="39"/>
      <c r="F31" s="32"/>
      <c r="G31" s="15"/>
      <c r="H31" s="15"/>
      <c r="I31" s="41"/>
      <c r="J31" s="44"/>
      <c r="K31" s="176"/>
      <c r="L31" s="176"/>
      <c r="M31" s="41"/>
      <c r="N31" s="32"/>
      <c r="O31" s="15"/>
      <c r="P31" s="51"/>
      <c r="Q31" s="51"/>
      <c r="R31" s="20"/>
    </row>
    <row r="32" spans="1:18" s="22" customFormat="1" ht="15" x14ac:dyDescent="0.25">
      <c r="A32" s="30" t="s">
        <v>43</v>
      </c>
      <c r="B32" s="30"/>
      <c r="C32" s="15"/>
      <c r="D32" s="15"/>
      <c r="E32" s="35"/>
      <c r="F32" s="32"/>
      <c r="G32" s="15"/>
      <c r="H32" s="15"/>
      <c r="I32" s="41"/>
      <c r="J32" s="44"/>
      <c r="K32" s="176"/>
      <c r="L32" s="176"/>
      <c r="M32" s="41"/>
      <c r="N32" s="32"/>
      <c r="O32" s="15"/>
      <c r="P32" s="51"/>
      <c r="Q32" s="51"/>
      <c r="R32" s="20"/>
    </row>
    <row r="33" spans="1:20" ht="15" x14ac:dyDescent="0.25">
      <c r="A33" s="12" t="s">
        <v>44</v>
      </c>
      <c r="B33" s="12"/>
      <c r="C33" s="15">
        <f>+Expenditure!P212</f>
        <v>1601.4100000000003</v>
      </c>
      <c r="D33" s="15"/>
      <c r="E33" s="39"/>
      <c r="F33" s="32"/>
      <c r="G33" s="44">
        <v>540</v>
      </c>
      <c r="H33" s="15"/>
      <c r="I33" s="41"/>
      <c r="J33" s="44"/>
      <c r="K33" s="44">
        <v>458</v>
      </c>
      <c r="L33" s="175"/>
      <c r="M33" s="41"/>
      <c r="N33" s="32"/>
      <c r="O33" s="31"/>
      <c r="P33" s="51">
        <v>332.82</v>
      </c>
      <c r="Q33" s="15"/>
      <c r="R33" s="38"/>
      <c r="S33" s="22"/>
      <c r="T33" s="22"/>
    </row>
    <row r="34" spans="1:20" ht="15" x14ac:dyDescent="0.25">
      <c r="A34" s="12" t="s">
        <v>45</v>
      </c>
      <c r="B34" s="12"/>
      <c r="C34" s="15"/>
      <c r="D34" s="15"/>
      <c r="E34" s="39"/>
      <c r="F34" s="52"/>
      <c r="G34" s="53">
        <v>50</v>
      </c>
      <c r="H34" s="15"/>
      <c r="I34" s="54"/>
      <c r="J34" s="53"/>
      <c r="K34" s="53">
        <v>45</v>
      </c>
      <c r="L34" s="175"/>
      <c r="M34" s="54"/>
      <c r="N34" s="52"/>
      <c r="O34" s="15"/>
      <c r="P34" s="51">
        <v>20.86</v>
      </c>
      <c r="Q34" s="15"/>
      <c r="R34" s="20"/>
      <c r="S34" s="22"/>
      <c r="T34" s="22"/>
    </row>
    <row r="35" spans="1:20" ht="15" x14ac:dyDescent="0.25">
      <c r="A35" s="12" t="s">
        <v>46</v>
      </c>
      <c r="B35" s="12"/>
      <c r="C35" s="15">
        <f>Expenditure!Q27+Expenditure!Q82</f>
        <v>99.93</v>
      </c>
      <c r="D35" s="15"/>
      <c r="E35" s="39"/>
      <c r="F35" s="40"/>
      <c r="G35" s="44">
        <v>100</v>
      </c>
      <c r="H35" s="15"/>
      <c r="I35" s="41"/>
      <c r="J35" s="44"/>
      <c r="K35" s="44">
        <v>51</v>
      </c>
      <c r="L35" s="175"/>
      <c r="M35" s="41"/>
      <c r="N35" s="40"/>
      <c r="O35" s="15"/>
      <c r="P35" s="51">
        <f>45.89+35.09</f>
        <v>80.98</v>
      </c>
      <c r="Q35" s="15"/>
      <c r="R35" s="20"/>
      <c r="S35" s="22"/>
      <c r="T35" s="22"/>
    </row>
    <row r="36" spans="1:20" ht="15" x14ac:dyDescent="0.25">
      <c r="A36" s="12" t="s">
        <v>47</v>
      </c>
      <c r="B36" s="12"/>
      <c r="C36" s="15"/>
      <c r="D36" s="15"/>
      <c r="E36" s="39"/>
      <c r="F36" s="40"/>
      <c r="G36" s="44"/>
      <c r="H36" s="15"/>
      <c r="I36" s="41"/>
      <c r="J36" s="44"/>
      <c r="K36" s="44">
        <v>0</v>
      </c>
      <c r="L36" s="175"/>
      <c r="M36" s="41"/>
      <c r="N36" s="40"/>
      <c r="O36" s="15"/>
      <c r="P36" s="51">
        <f>7.99</f>
        <v>7.99</v>
      </c>
      <c r="Q36" s="15"/>
      <c r="R36" s="20"/>
      <c r="S36" s="22"/>
      <c r="T36" s="22"/>
    </row>
    <row r="37" spans="1:20" ht="15" x14ac:dyDescent="0.25">
      <c r="A37" s="12" t="s">
        <v>48</v>
      </c>
      <c r="B37" s="12"/>
      <c r="C37" s="15">
        <f>+Expenditure!Q14</f>
        <v>0</v>
      </c>
      <c r="D37" s="15"/>
      <c r="E37" s="39"/>
      <c r="F37" s="40"/>
      <c r="G37" s="44">
        <v>100</v>
      </c>
      <c r="H37" s="15"/>
      <c r="I37" s="41"/>
      <c r="J37" s="44"/>
      <c r="K37" s="44">
        <v>36</v>
      </c>
      <c r="L37" s="176"/>
      <c r="M37" s="41"/>
      <c r="N37" s="40"/>
      <c r="O37" s="15"/>
      <c r="P37" s="51">
        <v>91.87</v>
      </c>
      <c r="Q37" s="51"/>
      <c r="R37" s="20"/>
      <c r="S37" s="22"/>
      <c r="T37" s="22"/>
    </row>
    <row r="38" spans="1:20" ht="15" x14ac:dyDescent="0.25">
      <c r="A38" s="12" t="s">
        <v>306</v>
      </c>
      <c r="B38" s="12"/>
      <c r="C38" s="15">
        <f>Expenditure!U72</f>
        <v>750</v>
      </c>
      <c r="D38" s="15"/>
      <c r="E38" s="39"/>
      <c r="F38" s="40"/>
      <c r="G38" s="44"/>
      <c r="H38" s="15"/>
      <c r="I38" s="41"/>
      <c r="J38" s="44"/>
      <c r="K38" s="44"/>
      <c r="L38" s="176"/>
      <c r="M38" s="41"/>
      <c r="N38" s="40"/>
      <c r="O38" s="15"/>
      <c r="P38" s="51"/>
      <c r="Q38" s="51"/>
      <c r="R38" s="20"/>
      <c r="S38" s="22"/>
      <c r="T38" s="22"/>
    </row>
    <row r="39" spans="1:20" ht="15" x14ac:dyDescent="0.25">
      <c r="A39" s="12" t="s">
        <v>3</v>
      </c>
      <c r="B39" s="12"/>
      <c r="C39" s="15">
        <f>+Expenditure!Q10+Expenditure!Q17+Expenditure!Q33+Expenditure!Q81+Expenditure!Q145+Expenditure!Q178</f>
        <v>79.7</v>
      </c>
      <c r="D39" s="15"/>
      <c r="E39" s="39"/>
      <c r="F39" s="32"/>
      <c r="G39" s="44"/>
      <c r="H39" s="15"/>
      <c r="I39" s="41"/>
      <c r="J39" s="44"/>
      <c r="K39" s="44">
        <v>0</v>
      </c>
      <c r="L39" s="176"/>
      <c r="M39" s="41"/>
      <c r="N39" s="32"/>
      <c r="O39" s="15"/>
      <c r="P39" s="51">
        <f>43.19*9+42.31+83.19+43.19</f>
        <v>557.40000000000009</v>
      </c>
      <c r="Q39" s="15"/>
      <c r="R39" s="20"/>
      <c r="S39" s="22"/>
      <c r="T39" s="22"/>
    </row>
    <row r="40" spans="1:20" ht="15" x14ac:dyDescent="0.25">
      <c r="A40" s="12" t="s">
        <v>49</v>
      </c>
      <c r="B40" s="12"/>
      <c r="C40" s="15">
        <f>Expenditure!Q73+Expenditure!Q120+14.95</f>
        <v>66.900000000000006</v>
      </c>
      <c r="D40" s="15"/>
      <c r="E40" s="39"/>
      <c r="F40" s="40"/>
      <c r="G40" s="44">
        <v>100</v>
      </c>
      <c r="H40" s="15"/>
      <c r="I40" s="41"/>
      <c r="J40" s="44"/>
      <c r="K40" s="44">
        <v>41</v>
      </c>
      <c r="L40" s="176"/>
      <c r="M40" s="41"/>
      <c r="N40" s="40"/>
      <c r="O40" s="15"/>
      <c r="P40" s="51">
        <f>13.95+13.95+21.99+14.45+14.95</f>
        <v>79.290000000000006</v>
      </c>
      <c r="Q40" s="15"/>
      <c r="R40" s="20"/>
      <c r="S40" s="22"/>
      <c r="T40" s="22"/>
    </row>
    <row r="41" spans="1:20" ht="15" x14ac:dyDescent="0.25">
      <c r="A41" s="12" t="s">
        <v>50</v>
      </c>
      <c r="B41" s="12"/>
      <c r="C41" s="15">
        <f>+Expenditure!Q47</f>
        <v>0</v>
      </c>
      <c r="D41" s="15"/>
      <c r="E41" s="39"/>
      <c r="F41" s="32"/>
      <c r="G41" s="44">
        <v>180</v>
      </c>
      <c r="H41" s="15"/>
      <c r="I41" s="41"/>
      <c r="J41" s="44"/>
      <c r="K41" s="44">
        <v>133</v>
      </c>
      <c r="L41" s="176"/>
      <c r="M41" s="41"/>
      <c r="N41" s="32"/>
      <c r="O41" s="15"/>
      <c r="P41" s="51">
        <f>24.23+25.61+24+24.7</f>
        <v>98.54</v>
      </c>
      <c r="Q41" s="51"/>
      <c r="R41" s="20"/>
      <c r="S41" s="22"/>
      <c r="T41" s="22"/>
    </row>
    <row r="42" spans="1:20" ht="15" x14ac:dyDescent="0.25">
      <c r="A42" s="12" t="s">
        <v>51</v>
      </c>
      <c r="B42" s="12"/>
      <c r="C42" s="15">
        <f>Expenditure!Q66+Expenditure!Q149+Expenditure!Q171+9.49+5.99</f>
        <v>105.22</v>
      </c>
      <c r="D42" s="15"/>
      <c r="E42" s="39"/>
      <c r="F42" s="32"/>
      <c r="G42" s="44">
        <v>200</v>
      </c>
      <c r="H42" s="15"/>
      <c r="I42" s="41"/>
      <c r="J42" s="44"/>
      <c r="K42" s="44">
        <v>192</v>
      </c>
      <c r="L42" s="175"/>
      <c r="M42" s="41"/>
      <c r="N42" s="32"/>
      <c r="O42" s="31"/>
      <c r="P42" s="51">
        <f>15+14.99+2.58+1.99+2.19+1.19+10.78+14.9+6.58+56.96</f>
        <v>127.16</v>
      </c>
      <c r="Q42" s="15"/>
      <c r="R42" s="38"/>
      <c r="S42" s="22"/>
      <c r="T42" s="22"/>
    </row>
    <row r="43" spans="1:20" ht="15" x14ac:dyDescent="0.25">
      <c r="A43" s="12" t="s">
        <v>52</v>
      </c>
      <c r="B43" s="12"/>
      <c r="C43" s="15">
        <f>+Expenditure!S212</f>
        <v>111.9</v>
      </c>
      <c r="D43" s="15"/>
      <c r="E43" s="39"/>
      <c r="F43" s="32"/>
      <c r="G43" s="44">
        <v>100</v>
      </c>
      <c r="H43" s="15"/>
      <c r="I43" s="41"/>
      <c r="J43" s="44"/>
      <c r="K43" s="44">
        <v>3</v>
      </c>
      <c r="L43" s="175"/>
      <c r="M43" s="41"/>
      <c r="N43" s="32"/>
      <c r="O43" s="31"/>
      <c r="P43" s="51">
        <f>48.1+69+2.9</f>
        <v>120</v>
      </c>
      <c r="Q43" s="51"/>
      <c r="R43" s="38"/>
      <c r="S43" s="22"/>
      <c r="T43" s="22"/>
    </row>
    <row r="44" spans="1:20" ht="15" x14ac:dyDescent="0.25">
      <c r="A44" s="12" t="s">
        <v>84</v>
      </c>
      <c r="B44" s="12"/>
      <c r="C44" s="15">
        <f>Expenditure!P155+Expenditure!P166+Expenditure!Q199</f>
        <v>1215</v>
      </c>
      <c r="D44" s="15"/>
      <c r="E44" s="39"/>
      <c r="F44" s="32"/>
      <c r="G44" s="44">
        <v>250</v>
      </c>
      <c r="H44" s="15"/>
      <c r="I44" s="41"/>
      <c r="J44" s="44"/>
      <c r="K44" s="44">
        <v>100</v>
      </c>
      <c r="L44" s="175"/>
      <c r="M44" s="41"/>
      <c r="N44" s="32"/>
      <c r="O44" s="31"/>
      <c r="P44" s="51"/>
      <c r="Q44" s="51"/>
      <c r="R44" s="38"/>
      <c r="S44" s="22"/>
      <c r="T44" s="22"/>
    </row>
    <row r="45" spans="1:20" ht="15" x14ac:dyDescent="0.25">
      <c r="A45" s="12" t="s">
        <v>467</v>
      </c>
      <c r="B45" s="12"/>
      <c r="C45" s="15">
        <f>Expenditure!Q205</f>
        <v>359.4</v>
      </c>
      <c r="D45" s="15"/>
      <c r="E45" s="39"/>
      <c r="F45" s="32"/>
      <c r="G45" s="44">
        <v>0</v>
      </c>
      <c r="H45" s="15"/>
      <c r="I45" s="41"/>
      <c r="J45" s="44"/>
      <c r="K45" s="44"/>
      <c r="L45" s="175"/>
      <c r="M45" s="41"/>
      <c r="N45" s="32"/>
      <c r="O45" s="31"/>
      <c r="P45" s="51"/>
      <c r="Q45" s="51"/>
      <c r="R45" s="38"/>
      <c r="S45" s="22"/>
      <c r="T45" s="22"/>
    </row>
    <row r="46" spans="1:20" ht="15" x14ac:dyDescent="0.25">
      <c r="A46" s="12" t="s">
        <v>263</v>
      </c>
      <c r="B46" s="12"/>
      <c r="C46" s="15">
        <f>Expenditure!Q43</f>
        <v>2.5</v>
      </c>
      <c r="D46" s="15"/>
      <c r="E46" s="39"/>
      <c r="F46" s="32"/>
      <c r="G46" s="44"/>
      <c r="H46" s="15"/>
      <c r="I46" s="41"/>
      <c r="J46" s="44"/>
      <c r="K46" s="44"/>
      <c r="L46" s="175"/>
      <c r="M46" s="41"/>
      <c r="N46" s="32"/>
      <c r="O46" s="31"/>
      <c r="P46" s="51"/>
      <c r="Q46" s="51"/>
      <c r="R46" s="38"/>
      <c r="S46" s="22"/>
      <c r="T46" s="22"/>
    </row>
    <row r="47" spans="1:20" ht="15" x14ac:dyDescent="0.25">
      <c r="A47" s="12"/>
      <c r="B47" s="12"/>
      <c r="C47" s="15"/>
      <c r="D47" s="15"/>
      <c r="E47" s="39"/>
      <c r="F47" s="40"/>
      <c r="G47" s="40"/>
      <c r="H47" s="15"/>
      <c r="I47" s="41"/>
      <c r="J47" s="40"/>
      <c r="K47" s="40"/>
      <c r="L47" s="175"/>
      <c r="M47" s="41"/>
      <c r="N47" s="40"/>
      <c r="O47" s="15"/>
      <c r="P47" s="15"/>
      <c r="Q47" s="15"/>
      <c r="R47" s="38"/>
      <c r="S47" s="22"/>
      <c r="T47" s="22"/>
    </row>
    <row r="48" spans="1:20" ht="15" x14ac:dyDescent="0.25">
      <c r="A48" s="30" t="s">
        <v>53</v>
      </c>
      <c r="B48" s="30"/>
      <c r="C48" s="15">
        <f>+Expenditure!R212</f>
        <v>0</v>
      </c>
      <c r="D48" s="15"/>
      <c r="E48" s="35"/>
      <c r="F48" s="40"/>
      <c r="G48" s="44">
        <v>1000</v>
      </c>
      <c r="H48" s="15"/>
      <c r="I48" s="41"/>
      <c r="J48" s="44"/>
      <c r="K48" s="44">
        <v>0</v>
      </c>
      <c r="L48" s="175"/>
      <c r="M48" s="41"/>
      <c r="N48" s="40"/>
      <c r="O48" s="31"/>
      <c r="P48" s="15">
        <v>500</v>
      </c>
      <c r="Q48" s="15"/>
      <c r="R48" s="38"/>
      <c r="S48" s="22"/>
      <c r="T48" s="22"/>
    </row>
    <row r="49" spans="1:20" ht="15" x14ac:dyDescent="0.25">
      <c r="A49" s="30"/>
      <c r="B49" s="30"/>
      <c r="C49" s="15"/>
      <c r="D49" s="15"/>
      <c r="E49" s="35"/>
      <c r="F49" s="32"/>
      <c r="G49" s="44"/>
      <c r="H49" s="15"/>
      <c r="I49" s="41"/>
      <c r="J49" s="44"/>
      <c r="K49" s="44"/>
      <c r="L49" s="175"/>
      <c r="M49" s="41"/>
      <c r="N49" s="32"/>
      <c r="O49" s="31"/>
      <c r="P49" s="15"/>
      <c r="Q49" s="15"/>
      <c r="R49" s="38"/>
      <c r="S49" s="22"/>
      <c r="T49" s="22"/>
    </row>
    <row r="50" spans="1:20" ht="15" x14ac:dyDescent="0.25">
      <c r="A50" s="30" t="s">
        <v>54</v>
      </c>
      <c r="B50" s="30"/>
      <c r="C50" s="15">
        <f>+Expenditure!V212</f>
        <v>722</v>
      </c>
      <c r="D50" s="15"/>
      <c r="E50" s="35"/>
      <c r="F50" s="40"/>
      <c r="G50" s="44">
        <v>900</v>
      </c>
      <c r="H50" s="15"/>
      <c r="I50" s="41"/>
      <c r="J50" s="44"/>
      <c r="K50" s="44">
        <v>717</v>
      </c>
      <c r="L50" s="175"/>
      <c r="M50" s="41"/>
      <c r="N50" s="40"/>
      <c r="O50" s="31"/>
      <c r="P50" s="15">
        <v>782.12</v>
      </c>
      <c r="Q50" s="15"/>
      <c r="R50" s="20"/>
      <c r="S50" s="22"/>
      <c r="T50" s="22"/>
    </row>
    <row r="51" spans="1:20" ht="15" x14ac:dyDescent="0.25">
      <c r="A51" s="12"/>
      <c r="B51" s="12"/>
      <c r="C51" s="15"/>
      <c r="D51" s="15"/>
      <c r="E51" s="39"/>
      <c r="F51" s="40"/>
      <c r="G51" s="44"/>
      <c r="H51" s="15"/>
      <c r="I51" s="41"/>
      <c r="J51" s="44"/>
      <c r="K51" s="44"/>
      <c r="L51" s="175"/>
      <c r="M51" s="41"/>
      <c r="N51" s="40"/>
      <c r="O51" s="15"/>
      <c r="P51" s="15"/>
      <c r="Q51" s="15"/>
      <c r="R51" s="38"/>
      <c r="S51" s="22"/>
      <c r="T51" s="22"/>
    </row>
    <row r="52" spans="1:20" ht="15" x14ac:dyDescent="0.25">
      <c r="A52" s="30" t="s">
        <v>55</v>
      </c>
      <c r="B52" s="30"/>
      <c r="C52" s="15">
        <f>+Expenditure!W212</f>
        <v>1200</v>
      </c>
      <c r="D52" s="15"/>
      <c r="E52" s="35"/>
      <c r="F52" s="40"/>
      <c r="G52" s="44">
        <v>1500</v>
      </c>
      <c r="H52" s="15"/>
      <c r="I52" s="41"/>
      <c r="J52" s="44"/>
      <c r="K52" s="44">
        <v>1200</v>
      </c>
      <c r="L52" s="175"/>
      <c r="M52" s="41"/>
      <c r="N52" s="40"/>
      <c r="O52" s="31"/>
      <c r="P52" s="15">
        <v>603.25</v>
      </c>
      <c r="Q52" s="15"/>
      <c r="R52" s="20"/>
      <c r="S52" s="22"/>
      <c r="T52" s="22"/>
    </row>
    <row r="53" spans="1:20" ht="15" x14ac:dyDescent="0.25">
      <c r="A53" s="12"/>
      <c r="B53" s="12"/>
      <c r="C53" s="15"/>
      <c r="D53" s="15"/>
      <c r="E53" s="39"/>
      <c r="F53" s="40"/>
      <c r="G53" s="44"/>
      <c r="H53" s="15"/>
      <c r="I53" s="41"/>
      <c r="J53" s="44"/>
      <c r="K53" s="176"/>
      <c r="L53" s="175"/>
      <c r="M53" s="41"/>
      <c r="N53" s="40"/>
      <c r="O53" s="15"/>
      <c r="P53" s="15"/>
      <c r="Q53" s="15"/>
      <c r="R53" s="38"/>
      <c r="S53" s="22"/>
      <c r="T53" s="22"/>
    </row>
    <row r="54" spans="1:20" ht="15" x14ac:dyDescent="0.25">
      <c r="A54" s="30" t="s">
        <v>56</v>
      </c>
      <c r="B54" s="30"/>
      <c r="C54" s="15">
        <v>1500</v>
      </c>
      <c r="D54" s="15"/>
      <c r="E54" s="35"/>
      <c r="F54" s="32"/>
      <c r="G54" s="44">
        <v>1200</v>
      </c>
      <c r="H54" s="15"/>
      <c r="I54" s="41"/>
      <c r="J54" s="44"/>
      <c r="K54" s="44">
        <v>-300</v>
      </c>
      <c r="L54" s="175"/>
      <c r="M54" s="41"/>
      <c r="N54" s="32"/>
      <c r="O54" s="31"/>
      <c r="P54" s="15">
        <v>1600</v>
      </c>
      <c r="Q54" s="15"/>
      <c r="R54" s="38"/>
      <c r="S54" s="22"/>
      <c r="T54" s="22"/>
    </row>
    <row r="55" spans="1:20" ht="15" x14ac:dyDescent="0.25">
      <c r="A55" s="30" t="s">
        <v>424</v>
      </c>
      <c r="B55" s="30"/>
      <c r="C55" s="15">
        <v>800</v>
      </c>
      <c r="D55" s="15"/>
      <c r="E55" s="35"/>
      <c r="F55" s="32"/>
      <c r="G55" s="44"/>
      <c r="H55" s="15"/>
      <c r="I55" s="41"/>
      <c r="J55" s="44"/>
      <c r="K55" s="44"/>
      <c r="L55" s="175"/>
      <c r="M55" s="41"/>
      <c r="N55" s="32"/>
      <c r="O55" s="31"/>
      <c r="P55" s="15"/>
      <c r="Q55" s="15"/>
      <c r="R55" s="38"/>
      <c r="S55" s="22"/>
      <c r="T55" s="22"/>
    </row>
    <row r="56" spans="1:20" ht="15" x14ac:dyDescent="0.25">
      <c r="A56" s="30" t="s">
        <v>93</v>
      </c>
      <c r="B56" s="30"/>
      <c r="C56" s="15">
        <v>160</v>
      </c>
      <c r="D56" s="15"/>
      <c r="E56" s="35"/>
      <c r="F56" s="32"/>
      <c r="G56" s="44">
        <v>160</v>
      </c>
      <c r="H56" s="15"/>
      <c r="I56" s="41"/>
      <c r="J56" s="44"/>
      <c r="K56" s="176"/>
      <c r="L56" s="175"/>
      <c r="M56" s="41"/>
      <c r="N56" s="32"/>
      <c r="O56" s="31"/>
      <c r="P56" s="15"/>
      <c r="Q56" s="15"/>
      <c r="R56" s="38"/>
      <c r="S56" s="22"/>
      <c r="T56" s="22"/>
    </row>
    <row r="57" spans="1:20" ht="15" x14ac:dyDescent="0.25">
      <c r="A57" s="30" t="s">
        <v>94</v>
      </c>
      <c r="B57" s="30"/>
      <c r="C57" s="15"/>
      <c r="D57" s="15"/>
      <c r="E57" s="35"/>
      <c r="F57" s="32"/>
      <c r="G57" s="44">
        <v>600</v>
      </c>
      <c r="H57" s="15"/>
      <c r="I57" s="41"/>
      <c r="J57" s="44"/>
      <c r="K57" s="44"/>
      <c r="L57" s="175"/>
      <c r="M57" s="41"/>
      <c r="N57" s="32"/>
      <c r="O57" s="31"/>
      <c r="P57" s="15"/>
      <c r="Q57" s="15"/>
      <c r="R57" s="38"/>
      <c r="S57" s="22"/>
      <c r="T57" s="22"/>
    </row>
    <row r="58" spans="1:20" ht="15" x14ac:dyDescent="0.25">
      <c r="A58" s="30"/>
      <c r="B58" s="30"/>
      <c r="C58" s="15"/>
      <c r="D58" s="15"/>
      <c r="E58" s="35"/>
      <c r="F58" s="46"/>
      <c r="G58" s="44"/>
      <c r="H58" s="15"/>
      <c r="I58" s="41"/>
      <c r="J58" s="44"/>
      <c r="K58" s="176"/>
      <c r="L58" s="175"/>
      <c r="M58" s="41"/>
      <c r="N58" s="46"/>
      <c r="O58" s="31"/>
      <c r="P58" s="15"/>
      <c r="Q58" s="15"/>
      <c r="R58" s="38"/>
      <c r="S58" s="22"/>
      <c r="T58" s="22"/>
    </row>
    <row r="59" spans="1:20" ht="15" x14ac:dyDescent="0.25">
      <c r="A59" s="30" t="s">
        <v>57</v>
      </c>
      <c r="B59" s="30"/>
      <c r="C59" s="15">
        <f>+Expenditure!Y212</f>
        <v>772.6</v>
      </c>
      <c r="D59" s="15"/>
      <c r="E59" s="35"/>
      <c r="F59" s="46"/>
      <c r="G59" s="44">
        <v>900</v>
      </c>
      <c r="H59" s="15"/>
      <c r="I59" s="41"/>
      <c r="J59" s="44"/>
      <c r="K59" s="176">
        <v>779</v>
      </c>
      <c r="L59" s="175"/>
      <c r="M59" s="41"/>
      <c r="N59" s="46"/>
      <c r="O59" s="31"/>
      <c r="P59" s="15">
        <v>844</v>
      </c>
      <c r="Q59" s="15"/>
      <c r="R59" s="38"/>
      <c r="S59" s="22"/>
      <c r="T59" s="22"/>
    </row>
    <row r="60" spans="1:20" ht="15" x14ac:dyDescent="0.25">
      <c r="A60" s="30"/>
      <c r="B60" s="30"/>
      <c r="C60" s="15"/>
      <c r="D60" s="15"/>
      <c r="E60" s="35"/>
      <c r="F60" s="46"/>
      <c r="G60" s="44"/>
      <c r="H60" s="15"/>
      <c r="I60" s="41"/>
      <c r="J60" s="44"/>
      <c r="K60" s="176"/>
      <c r="L60" s="176"/>
      <c r="M60" s="41"/>
      <c r="N60" s="46"/>
      <c r="O60" s="31"/>
      <c r="P60" s="15"/>
      <c r="Q60" s="15"/>
      <c r="R60" s="38"/>
      <c r="S60" s="22"/>
      <c r="T60" s="22"/>
    </row>
    <row r="61" spans="1:20" ht="15" x14ac:dyDescent="0.25">
      <c r="A61" s="30" t="s">
        <v>91</v>
      </c>
      <c r="B61" s="30"/>
      <c r="C61" s="15"/>
      <c r="D61" s="15"/>
      <c r="E61" s="35"/>
      <c r="F61" s="46"/>
      <c r="G61" s="44"/>
      <c r="H61" s="15"/>
      <c r="I61" s="41"/>
      <c r="J61" s="44"/>
      <c r="K61" s="176"/>
      <c r="L61" s="176"/>
      <c r="M61" s="41"/>
      <c r="N61" s="46"/>
      <c r="O61" s="31"/>
      <c r="P61" s="15"/>
      <c r="Q61" s="15"/>
      <c r="R61" s="38"/>
      <c r="S61" s="22"/>
      <c r="T61" s="22"/>
    </row>
    <row r="62" spans="1:20" ht="15" x14ac:dyDescent="0.25">
      <c r="A62" s="12" t="s">
        <v>95</v>
      </c>
      <c r="B62" s="30"/>
      <c r="C62" s="15">
        <f>Expenditure!AJ143</f>
        <v>50</v>
      </c>
      <c r="D62" s="15"/>
      <c r="E62" s="35"/>
      <c r="F62" s="46"/>
      <c r="G62" s="44">
        <v>75</v>
      </c>
      <c r="H62" s="15"/>
      <c r="I62" s="41"/>
      <c r="J62" s="44"/>
      <c r="K62" s="176">
        <v>50</v>
      </c>
      <c r="L62" s="176"/>
      <c r="M62" s="41"/>
      <c r="N62" s="46"/>
      <c r="O62" s="31"/>
      <c r="P62" s="15"/>
      <c r="Q62" s="15"/>
      <c r="R62" s="38"/>
      <c r="S62" s="22"/>
      <c r="T62" s="22"/>
    </row>
    <row r="63" spans="1:20" ht="15" x14ac:dyDescent="0.25">
      <c r="A63" s="12" t="s">
        <v>96</v>
      </c>
      <c r="B63" s="30"/>
      <c r="C63" s="15">
        <f>Expenditure!AJ144</f>
        <v>45</v>
      </c>
      <c r="D63" s="15"/>
      <c r="E63" s="35"/>
      <c r="F63" s="46"/>
      <c r="G63" s="44">
        <v>75</v>
      </c>
      <c r="H63" s="15"/>
      <c r="I63" s="41"/>
      <c r="J63" s="44"/>
      <c r="K63" s="176">
        <v>45</v>
      </c>
      <c r="L63" s="176"/>
      <c r="M63" s="41"/>
      <c r="N63" s="46"/>
      <c r="O63" s="31"/>
      <c r="P63" s="15"/>
      <c r="Q63" s="15"/>
      <c r="R63" s="38"/>
      <c r="S63" s="22"/>
      <c r="T63" s="22"/>
    </row>
    <row r="64" spans="1:20" ht="15" x14ac:dyDescent="0.25">
      <c r="A64" s="30"/>
      <c r="B64" s="30"/>
      <c r="C64" s="15"/>
      <c r="D64" s="15"/>
      <c r="E64" s="35"/>
      <c r="F64" s="46"/>
      <c r="G64" s="44"/>
      <c r="H64" s="15"/>
      <c r="I64" s="41"/>
      <c r="J64" s="44"/>
      <c r="K64" s="176"/>
      <c r="L64" s="176"/>
      <c r="M64" s="41"/>
      <c r="N64" s="46"/>
      <c r="O64" s="31"/>
      <c r="P64" s="15"/>
      <c r="Q64" s="15"/>
      <c r="R64" s="20"/>
      <c r="S64" s="22"/>
      <c r="T64" s="22"/>
    </row>
    <row r="65" spans="1:20" ht="15" x14ac:dyDescent="0.25">
      <c r="A65" s="30" t="s">
        <v>58</v>
      </c>
      <c r="B65" s="30"/>
      <c r="C65" s="15"/>
      <c r="D65" s="15"/>
      <c r="E65" s="35"/>
      <c r="F65" s="53"/>
      <c r="G65" s="53"/>
      <c r="H65" s="15"/>
      <c r="I65" s="54"/>
      <c r="J65" s="53"/>
      <c r="K65" s="177"/>
      <c r="L65" s="177"/>
      <c r="M65" s="54"/>
      <c r="N65" s="53"/>
      <c r="O65" s="15"/>
      <c r="P65" s="15"/>
      <c r="Q65" s="15"/>
      <c r="R65" s="20"/>
      <c r="S65" s="22"/>
      <c r="T65" s="22"/>
    </row>
    <row r="66" spans="1:20" ht="15" x14ac:dyDescent="0.25">
      <c r="A66" s="12" t="s">
        <v>59</v>
      </c>
      <c r="B66" s="12"/>
      <c r="C66" s="15"/>
      <c r="D66" s="15"/>
      <c r="E66" s="39"/>
      <c r="F66" s="53"/>
      <c r="H66" s="15"/>
      <c r="I66" s="54"/>
      <c r="J66" s="53"/>
      <c r="L66" s="177"/>
      <c r="M66" s="54"/>
      <c r="N66" s="53"/>
      <c r="O66" s="15"/>
      <c r="P66" s="51">
        <v>75</v>
      </c>
      <c r="Q66" s="51"/>
      <c r="R66" s="20"/>
      <c r="S66" s="22"/>
      <c r="T66" s="22"/>
    </row>
    <row r="67" spans="1:20" ht="15" x14ac:dyDescent="0.25">
      <c r="A67" s="12" t="s">
        <v>60</v>
      </c>
      <c r="B67" s="12"/>
      <c r="C67" s="15"/>
      <c r="D67" s="15"/>
      <c r="E67" s="39"/>
      <c r="F67" s="44"/>
      <c r="H67" s="15"/>
      <c r="I67" s="41"/>
      <c r="J67" s="44"/>
      <c r="L67" s="176"/>
      <c r="M67" s="41"/>
      <c r="N67" s="44"/>
      <c r="O67" s="15"/>
      <c r="P67" s="51"/>
      <c r="Q67" s="51"/>
      <c r="R67" s="20"/>
      <c r="S67" s="22"/>
      <c r="T67" s="22"/>
    </row>
    <row r="68" spans="1:20" ht="15" x14ac:dyDescent="0.25">
      <c r="A68" s="12"/>
      <c r="B68" s="12"/>
      <c r="C68" s="15"/>
      <c r="D68" s="15"/>
      <c r="E68" s="39"/>
      <c r="F68" s="44"/>
      <c r="G68" s="44"/>
      <c r="H68" s="15"/>
      <c r="I68" s="41"/>
      <c r="J68" s="44"/>
      <c r="K68" s="44"/>
      <c r="L68" s="44"/>
      <c r="M68" s="41"/>
      <c r="N68" s="44"/>
      <c r="O68" s="15"/>
      <c r="P68" s="51"/>
      <c r="Q68" s="51"/>
      <c r="R68" s="20"/>
    </row>
    <row r="69" spans="1:20" ht="15" x14ac:dyDescent="0.25">
      <c r="A69" s="30" t="s">
        <v>225</v>
      </c>
      <c r="B69" s="12"/>
      <c r="C69" s="183">
        <f>+Expenditure!Q74</f>
        <v>0</v>
      </c>
      <c r="D69" s="15"/>
      <c r="E69" s="39"/>
      <c r="F69" s="44"/>
      <c r="G69" s="2">
        <v>250</v>
      </c>
      <c r="H69" s="15"/>
      <c r="I69" s="41"/>
      <c r="J69" s="44"/>
      <c r="K69" s="40">
        <v>245</v>
      </c>
      <c r="L69" s="15"/>
      <c r="M69" s="41"/>
      <c r="N69" s="44"/>
      <c r="O69" s="15"/>
      <c r="P69" s="51"/>
      <c r="Q69" s="51"/>
      <c r="R69" s="20"/>
    </row>
    <row r="70" spans="1:20" ht="15" x14ac:dyDescent="0.25">
      <c r="A70" s="30"/>
      <c r="B70" s="12"/>
      <c r="C70" s="2"/>
      <c r="D70" s="15"/>
      <c r="E70" s="39"/>
      <c r="F70" s="44"/>
      <c r="G70" s="15"/>
      <c r="H70" s="15"/>
      <c r="I70" s="41"/>
      <c r="J70" s="44"/>
      <c r="L70" s="15"/>
      <c r="M70" s="41"/>
      <c r="N70" s="44"/>
      <c r="O70" s="15"/>
      <c r="P70" s="51"/>
      <c r="Q70" s="51"/>
      <c r="R70" s="20"/>
    </row>
    <row r="71" spans="1:20" ht="15" x14ac:dyDescent="0.25">
      <c r="A71" s="30" t="s">
        <v>173</v>
      </c>
      <c r="B71" s="12"/>
      <c r="D71" s="15"/>
      <c r="E71" s="39"/>
      <c r="F71" s="44"/>
      <c r="G71" s="2">
        <v>0</v>
      </c>
      <c r="H71" s="15"/>
      <c r="I71" s="41"/>
      <c r="J71" s="44"/>
      <c r="L71" s="15"/>
      <c r="M71" s="41"/>
      <c r="N71" s="44"/>
      <c r="O71" s="15"/>
      <c r="P71" s="51"/>
      <c r="Q71" s="51"/>
      <c r="R71" s="20"/>
    </row>
    <row r="72" spans="1:20" ht="15" x14ac:dyDescent="0.25">
      <c r="A72" s="12"/>
      <c r="B72" s="12"/>
      <c r="C72" s="15"/>
      <c r="D72" s="15"/>
      <c r="E72" s="39"/>
      <c r="F72" s="44"/>
      <c r="G72" s="44"/>
      <c r="H72" s="15"/>
      <c r="I72" s="41"/>
      <c r="J72" s="44"/>
      <c r="K72" s="44"/>
      <c r="L72" s="44"/>
      <c r="M72" s="41"/>
      <c r="N72" s="44"/>
      <c r="O72" s="15"/>
      <c r="P72" s="51"/>
      <c r="Q72" s="51"/>
      <c r="R72" s="20"/>
    </row>
    <row r="73" spans="1:20" ht="15" x14ac:dyDescent="0.25">
      <c r="A73" s="30" t="s">
        <v>61</v>
      </c>
      <c r="B73" s="30"/>
      <c r="C73" s="15"/>
      <c r="D73" s="15"/>
      <c r="E73" s="35"/>
      <c r="F73" s="40"/>
      <c r="G73" s="44"/>
      <c r="H73" s="15"/>
      <c r="I73" s="41"/>
      <c r="J73" s="40"/>
      <c r="K73" s="44"/>
      <c r="M73" s="41"/>
      <c r="N73" s="40"/>
      <c r="O73" s="15"/>
      <c r="P73" s="51"/>
      <c r="Q73" s="51"/>
      <c r="R73" s="20"/>
    </row>
    <row r="74" spans="1:20" ht="15" x14ac:dyDescent="0.25">
      <c r="A74" s="12" t="s">
        <v>62</v>
      </c>
      <c r="B74" s="12"/>
      <c r="C74" s="15"/>
      <c r="D74" s="15"/>
      <c r="E74" s="39"/>
      <c r="F74" s="40"/>
      <c r="G74" s="53">
        <v>500</v>
      </c>
      <c r="H74" s="15"/>
      <c r="I74" s="41"/>
      <c r="J74" s="40"/>
      <c r="K74" s="53">
        <v>500</v>
      </c>
      <c r="L74" s="44"/>
      <c r="M74" s="41"/>
      <c r="N74" s="40"/>
      <c r="O74" s="15"/>
      <c r="P74" s="51"/>
      <c r="Q74" s="51"/>
      <c r="R74" s="38"/>
    </row>
    <row r="75" spans="1:20" ht="15" x14ac:dyDescent="0.25">
      <c r="A75" s="12" t="s">
        <v>63</v>
      </c>
      <c r="B75" s="12"/>
      <c r="C75" s="15">
        <f>Expenditure!AJ129</f>
        <v>5200</v>
      </c>
      <c r="D75" s="15"/>
      <c r="E75" s="39"/>
      <c r="F75" s="40"/>
      <c r="G75" s="44">
        <v>5200</v>
      </c>
      <c r="H75" s="15"/>
      <c r="I75" s="41"/>
      <c r="J75" s="40"/>
      <c r="K75" s="44">
        <v>5200</v>
      </c>
      <c r="M75" s="41"/>
      <c r="N75" s="40"/>
      <c r="O75" s="31"/>
      <c r="P75" s="15">
        <f>42.58+104.5+169.72+26+52.05+100+3000+32+32+10+32+60+35</f>
        <v>3695.85</v>
      </c>
      <c r="Q75" s="51"/>
      <c r="R75" s="38"/>
    </row>
    <row r="76" spans="1:20" s="50" customFormat="1" ht="15" x14ac:dyDescent="0.25">
      <c r="A76" s="30"/>
      <c r="B76" s="30"/>
      <c r="C76" s="43"/>
      <c r="D76" s="43"/>
      <c r="E76" s="27"/>
      <c r="F76" s="24"/>
      <c r="G76" s="43"/>
      <c r="H76" s="43"/>
      <c r="I76" s="41"/>
      <c r="J76" s="40"/>
      <c r="K76" s="43"/>
      <c r="L76" s="43"/>
      <c r="M76" s="41"/>
      <c r="N76" s="24"/>
      <c r="O76" s="30"/>
      <c r="P76" s="42"/>
      <c r="Q76" s="42"/>
      <c r="R76" s="38"/>
      <c r="S76" s="49"/>
      <c r="T76" s="49"/>
    </row>
    <row r="77" spans="1:20" ht="15" x14ac:dyDescent="0.25">
      <c r="A77" s="30" t="s">
        <v>64</v>
      </c>
      <c r="B77" s="30"/>
      <c r="C77" s="32"/>
      <c r="D77" s="45">
        <f>SUM(C16:C76)</f>
        <v>19457.849999999999</v>
      </c>
      <c r="E77" s="27"/>
      <c r="F77" s="28"/>
      <c r="G77" s="32"/>
      <c r="H77" s="45">
        <f>SUM(G16:G76)</f>
        <v>21380</v>
      </c>
      <c r="I77" s="33"/>
      <c r="J77" s="32"/>
      <c r="K77" s="32"/>
      <c r="L77" s="82">
        <f>K16+K19+K20+K22+K25+K28+K33+K34+K35+K36+K37+K39+K40+K41+K42+K43+K44+K48+K50+K52+K54+K56+K57+K59+K62+K63+K69+K74+K75</f>
        <v>15611</v>
      </c>
      <c r="M77" s="33"/>
      <c r="N77" s="28"/>
      <c r="O77" s="30"/>
      <c r="P77" s="31"/>
      <c r="Q77" s="45">
        <f>SUM(P16:P75)</f>
        <v>18329.960000000003</v>
      </c>
      <c r="R77" s="38"/>
    </row>
    <row r="78" spans="1:20" s="50" customFormat="1" ht="15" x14ac:dyDescent="0.25">
      <c r="A78" s="30"/>
      <c r="B78" s="30"/>
      <c r="C78" s="40"/>
      <c r="D78" s="43"/>
      <c r="E78" s="27"/>
      <c r="F78" s="24"/>
      <c r="G78" s="40"/>
      <c r="H78" s="43"/>
      <c r="I78" s="41"/>
      <c r="J78" s="40"/>
      <c r="K78" s="175"/>
      <c r="L78" s="178"/>
      <c r="M78" s="41"/>
      <c r="N78" s="24"/>
      <c r="O78" s="30"/>
      <c r="P78" s="15"/>
      <c r="Q78" s="42"/>
      <c r="R78" s="38"/>
      <c r="S78" s="49"/>
      <c r="T78" s="49"/>
    </row>
    <row r="79" spans="1:20" ht="15" x14ac:dyDescent="0.25">
      <c r="A79" s="30" t="s">
        <v>65</v>
      </c>
      <c r="B79" s="30"/>
      <c r="C79" s="46"/>
      <c r="D79" s="45">
        <f>+Expenditure!Z212</f>
        <v>9999.98</v>
      </c>
      <c r="E79" s="27"/>
      <c r="F79" s="55"/>
      <c r="G79" s="46"/>
      <c r="H79" s="45">
        <v>10000</v>
      </c>
      <c r="I79" s="33"/>
      <c r="J79" s="46"/>
      <c r="K79" s="46"/>
      <c r="L79" s="82">
        <v>9999.9600000000009</v>
      </c>
      <c r="M79" s="33"/>
      <c r="N79" s="55"/>
      <c r="O79" s="30"/>
      <c r="P79" s="31"/>
      <c r="Q79" s="48">
        <v>9875.65</v>
      </c>
      <c r="R79" s="20"/>
    </row>
    <row r="80" spans="1:20" s="50" customFormat="1" ht="15" x14ac:dyDescent="0.25">
      <c r="A80" s="12"/>
      <c r="B80" s="12"/>
      <c r="C80" s="40"/>
      <c r="D80" s="40"/>
      <c r="E80" s="18"/>
      <c r="F80" s="24"/>
      <c r="G80" s="40"/>
      <c r="H80" s="40"/>
      <c r="I80" s="41"/>
      <c r="J80" s="40"/>
      <c r="K80" s="40"/>
      <c r="L80" s="40"/>
      <c r="M80" s="41"/>
      <c r="N80" s="24"/>
      <c r="O80" s="12"/>
      <c r="P80" s="15"/>
      <c r="Q80" s="15"/>
      <c r="R80" s="38"/>
      <c r="S80" s="49"/>
      <c r="T80" s="49"/>
    </row>
    <row r="81" spans="1:20" ht="15.75" thickBot="1" x14ac:dyDescent="0.3">
      <c r="A81" s="30"/>
      <c r="B81" s="30"/>
      <c r="C81" s="32"/>
      <c r="D81" s="56">
        <f>+D14+D77+D79</f>
        <v>40391.149999999994</v>
      </c>
      <c r="E81" s="27"/>
      <c r="F81" s="28"/>
      <c r="G81" s="32"/>
      <c r="H81" s="56">
        <f>+H14+H77+H79</f>
        <v>45422</v>
      </c>
      <c r="I81" s="33"/>
      <c r="J81" s="46"/>
      <c r="K81" s="32"/>
      <c r="L81" s="56">
        <v>33794.370000000003</v>
      </c>
      <c r="M81" s="33"/>
      <c r="N81" s="28"/>
      <c r="O81" s="30"/>
      <c r="P81" s="31"/>
      <c r="Q81" s="57">
        <f>+Q14+Q77+Q79</f>
        <v>40981.230000000003</v>
      </c>
    </row>
    <row r="82" spans="1:20" x14ac:dyDescent="0.2">
      <c r="C82" s="58"/>
      <c r="D82" s="58"/>
      <c r="G82" s="58"/>
      <c r="H82" s="58"/>
      <c r="K82" s="58"/>
      <c r="L82" s="58"/>
    </row>
    <row r="83" spans="1:20" x14ac:dyDescent="0.2">
      <c r="G83" s="22"/>
      <c r="H83" s="22"/>
    </row>
    <row r="84" spans="1:20" x14ac:dyDescent="0.2">
      <c r="G84" s="22"/>
      <c r="H84" s="22"/>
      <c r="I84" s="22"/>
      <c r="J84" s="22"/>
      <c r="K84" s="22"/>
      <c r="L84" s="22"/>
      <c r="M84" s="22"/>
      <c r="N84" s="22"/>
      <c r="P84" s="22"/>
      <c r="Q84" s="22"/>
      <c r="S84" s="22"/>
      <c r="T84" s="22"/>
    </row>
    <row r="85" spans="1:20" x14ac:dyDescent="0.2">
      <c r="C85" s="181"/>
      <c r="G85" s="22"/>
      <c r="H85" s="22"/>
      <c r="I85" s="22"/>
      <c r="J85" s="22"/>
      <c r="K85" s="22"/>
      <c r="L85" s="22"/>
      <c r="M85" s="22"/>
      <c r="N85" s="22"/>
      <c r="P85" s="22"/>
      <c r="Q85" s="22"/>
      <c r="S85" s="22"/>
      <c r="T85" s="22"/>
    </row>
    <row r="86" spans="1:20" x14ac:dyDescent="0.2">
      <c r="G86" s="22"/>
      <c r="H86" s="22"/>
      <c r="I86" s="22"/>
      <c r="J86" s="22"/>
      <c r="K86" s="22"/>
      <c r="L86" s="22"/>
      <c r="M86" s="22"/>
      <c r="N86" s="22"/>
      <c r="P86" s="22"/>
      <c r="Q86" s="22"/>
      <c r="S86" s="22"/>
      <c r="T86" s="22"/>
    </row>
  </sheetData>
  <mergeCells count="10">
    <mergeCell ref="C6:D6"/>
    <mergeCell ref="G6:H6"/>
    <mergeCell ref="K6:L6"/>
    <mergeCell ref="P6:Q6"/>
    <mergeCell ref="A1:R1"/>
    <mergeCell ref="A3:R3"/>
    <mergeCell ref="G5:H5"/>
    <mergeCell ref="K5:L5"/>
    <mergeCell ref="P5:Q5"/>
    <mergeCell ref="C5:D5"/>
  </mergeCells>
  <pageMargins left="0.59055118110236227" right="0.59055118110236227" top="0.59055118110236227" bottom="0.59055118110236227" header="0.31496062992125984" footer="0.31496062992125984"/>
  <pageSetup paperSize="9" scale="63" orientation="portrait" r:id="rId1"/>
  <headerFooter>
    <oddFooter>&amp;C&amp;"Garamond,Regular"&amp;F&amp;R&amp;"Garamond,Regular"2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opLeftCell="A37" zoomScale="80" zoomScaleNormal="80" workbookViewId="0">
      <selection activeCell="D14" sqref="D14"/>
    </sheetView>
  </sheetViews>
  <sheetFormatPr defaultRowHeight="12.75" x14ac:dyDescent="0.2"/>
  <cols>
    <col min="1" max="1" width="46.5703125" style="22" bestFit="1" customWidth="1"/>
    <col min="2" max="2" width="3.5703125" style="22" customWidth="1"/>
    <col min="3" max="3" width="9.7109375" style="22" customWidth="1"/>
    <col min="4" max="4" width="10.140625" style="22" bestFit="1" customWidth="1"/>
    <col min="5" max="5" width="3.85546875" style="22" customWidth="1"/>
    <col min="6" max="6" width="3.5703125" style="1" customWidth="1"/>
    <col min="7" max="8" width="9.7109375" style="1" customWidth="1"/>
    <col min="9" max="10" width="3.5703125" style="1" customWidth="1"/>
    <col min="11" max="11" width="9.7109375" style="1" customWidth="1"/>
    <col min="12" max="12" width="10.85546875" style="1" customWidth="1"/>
    <col min="13" max="13" width="3.5703125" style="1" customWidth="1"/>
    <col min="14" max="16384" width="9.140625" style="22"/>
  </cols>
  <sheetData>
    <row r="1" spans="1:14" s="59" customFormat="1" ht="18.75" x14ac:dyDescent="0.3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4" s="11" customFormat="1" ht="15.75" x14ac:dyDescent="0.25">
      <c r="F2" s="6"/>
      <c r="G2" s="6"/>
      <c r="H2" s="6"/>
      <c r="I2" s="6"/>
      <c r="J2" s="6"/>
      <c r="K2" s="6"/>
      <c r="L2" s="6"/>
      <c r="M2" s="6"/>
    </row>
    <row r="3" spans="1:14" s="11" customFormat="1" ht="15.75" x14ac:dyDescent="0.25">
      <c r="A3" s="288" t="s">
        <v>189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4" s="16" customFormat="1" ht="15.75" x14ac:dyDescent="0.25">
      <c r="A4" s="22"/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</row>
    <row r="5" spans="1:14" ht="15" x14ac:dyDescent="0.25">
      <c r="A5" s="12"/>
      <c r="B5" s="12"/>
      <c r="C5" s="286" t="s">
        <v>464</v>
      </c>
      <c r="D5" s="286"/>
      <c r="E5" s="23"/>
      <c r="F5" s="24"/>
      <c r="G5" s="286" t="s">
        <v>7</v>
      </c>
      <c r="H5" s="286"/>
      <c r="I5" s="19"/>
      <c r="J5" s="24"/>
      <c r="K5" s="286" t="s">
        <v>81</v>
      </c>
      <c r="L5" s="286"/>
      <c r="M5" s="19"/>
    </row>
    <row r="6" spans="1:14" ht="15" x14ac:dyDescent="0.25">
      <c r="A6" s="12"/>
      <c r="B6" s="12"/>
      <c r="C6" s="284" t="s">
        <v>186</v>
      </c>
      <c r="D6" s="284"/>
      <c r="E6" s="23"/>
      <c r="F6" s="24"/>
      <c r="G6" s="284" t="s">
        <v>186</v>
      </c>
      <c r="H6" s="284"/>
      <c r="I6" s="19"/>
      <c r="J6" s="24"/>
      <c r="K6" s="285" t="s">
        <v>168</v>
      </c>
      <c r="L6" s="285"/>
      <c r="M6" s="19"/>
    </row>
    <row r="7" spans="1:14" ht="15" x14ac:dyDescent="0.25">
      <c r="A7" s="12"/>
      <c r="B7" s="12"/>
      <c r="C7" s="26" t="s">
        <v>9</v>
      </c>
      <c r="D7" s="26" t="s">
        <v>9</v>
      </c>
      <c r="E7" s="27"/>
      <c r="F7" s="28"/>
      <c r="G7" s="26" t="s">
        <v>9</v>
      </c>
      <c r="H7" s="26" t="s">
        <v>9</v>
      </c>
      <c r="I7" s="29"/>
      <c r="J7" s="61"/>
      <c r="K7" s="26" t="s">
        <v>9</v>
      </c>
      <c r="L7" s="26" t="s">
        <v>9</v>
      </c>
      <c r="M7" s="19"/>
    </row>
    <row r="8" spans="1:14" ht="15" x14ac:dyDescent="0.25">
      <c r="A8" s="12"/>
      <c r="B8" s="12"/>
      <c r="C8" s="15"/>
      <c r="D8" s="15"/>
      <c r="E8" s="18"/>
      <c r="F8" s="24"/>
      <c r="G8" s="15"/>
      <c r="H8" s="15"/>
      <c r="I8" s="24"/>
      <c r="J8" s="62"/>
      <c r="K8" s="24"/>
      <c r="L8" s="24"/>
      <c r="M8" s="23"/>
    </row>
    <row r="9" spans="1:14" ht="15" x14ac:dyDescent="0.25">
      <c r="A9" s="30" t="s">
        <v>228</v>
      </c>
      <c r="B9" s="12"/>
      <c r="C9" s="15"/>
      <c r="D9" s="15">
        <f>+Expenditure!AG212</f>
        <v>17210.379999999997</v>
      </c>
      <c r="E9" s="39"/>
      <c r="F9" s="40"/>
      <c r="G9" s="15"/>
      <c r="H9" s="15">
        <v>18775</v>
      </c>
      <c r="I9" s="40"/>
      <c r="J9" s="64"/>
      <c r="K9" s="175"/>
      <c r="L9" s="175">
        <v>12517</v>
      </c>
      <c r="M9" s="41"/>
      <c r="N9" s="58"/>
    </row>
    <row r="10" spans="1:14" ht="15" x14ac:dyDescent="0.25">
      <c r="A10" s="12"/>
      <c r="B10" s="12"/>
      <c r="C10" s="15"/>
      <c r="D10" s="15"/>
      <c r="E10" s="39"/>
      <c r="F10" s="40"/>
      <c r="G10" s="15"/>
      <c r="H10" s="15"/>
      <c r="I10" s="44"/>
      <c r="J10" s="64"/>
      <c r="K10" s="44"/>
      <c r="L10" s="44"/>
      <c r="M10" s="41"/>
      <c r="N10" s="58"/>
    </row>
    <row r="11" spans="1:14" ht="15" x14ac:dyDescent="0.25">
      <c r="A11" s="30" t="s">
        <v>66</v>
      </c>
      <c r="B11" s="12"/>
      <c r="C11" s="15"/>
      <c r="D11" s="15"/>
      <c r="E11" s="39"/>
      <c r="F11" s="40"/>
      <c r="G11" s="15"/>
      <c r="H11" s="15"/>
      <c r="I11" s="44"/>
      <c r="J11" s="64"/>
      <c r="K11" s="176"/>
      <c r="L11" s="176"/>
      <c r="M11" s="39"/>
      <c r="N11" s="58"/>
    </row>
    <row r="12" spans="1:14" ht="15" x14ac:dyDescent="0.25">
      <c r="A12" s="12"/>
      <c r="B12" s="12"/>
      <c r="C12" s="15"/>
      <c r="D12" s="15"/>
      <c r="E12" s="39"/>
      <c r="F12" s="40"/>
      <c r="G12" s="15"/>
      <c r="H12" s="15"/>
      <c r="I12" s="44"/>
      <c r="J12" s="64"/>
      <c r="K12" s="176"/>
      <c r="L12" s="176"/>
      <c r="M12" s="39"/>
      <c r="N12" s="58"/>
    </row>
    <row r="13" spans="1:14" ht="15" x14ac:dyDescent="0.25">
      <c r="A13" s="30" t="s">
        <v>67</v>
      </c>
      <c r="B13" s="12"/>
      <c r="C13" s="15"/>
      <c r="D13" s="15"/>
      <c r="E13" s="39"/>
      <c r="F13" s="40"/>
      <c r="G13" s="15"/>
      <c r="H13" s="15"/>
      <c r="I13" s="44"/>
      <c r="J13" s="64"/>
      <c r="K13" s="176"/>
      <c r="L13" s="176"/>
      <c r="M13" s="39"/>
      <c r="N13" s="58"/>
    </row>
    <row r="14" spans="1:14" ht="15" x14ac:dyDescent="0.25">
      <c r="A14" s="12" t="s">
        <v>68</v>
      </c>
      <c r="B14" s="12"/>
      <c r="C14" s="15"/>
      <c r="D14" s="15">
        <f>Expenditure!AJ71+Expenditure!AJ137+Expenditure!AJ138+Expenditure!AJ151+Expenditure!AJ159+Expenditure!AJ160+Expenditure!AJ161+Expenditure!AJ207</f>
        <v>4670.55</v>
      </c>
      <c r="E14" s="39"/>
      <c r="F14" s="40"/>
      <c r="G14" s="15">
        <v>3800</v>
      </c>
      <c r="H14" s="15"/>
      <c r="I14" s="44"/>
      <c r="J14" s="64"/>
      <c r="K14" s="180">
        <v>1213</v>
      </c>
      <c r="L14" s="175"/>
      <c r="M14" s="41"/>
      <c r="N14" s="58"/>
    </row>
    <row r="15" spans="1:14" ht="15" x14ac:dyDescent="0.25">
      <c r="A15" s="12" t="s">
        <v>69</v>
      </c>
      <c r="B15" s="12"/>
      <c r="C15" s="43"/>
      <c r="D15" s="43"/>
      <c r="E15" s="39"/>
      <c r="F15" s="40"/>
      <c r="G15" s="43">
        <v>90</v>
      </c>
      <c r="H15" s="43"/>
      <c r="I15" s="44"/>
      <c r="J15" s="64"/>
      <c r="K15" s="43">
        <v>0</v>
      </c>
      <c r="L15" s="178"/>
      <c r="M15" s="41"/>
      <c r="N15" s="58"/>
    </row>
    <row r="16" spans="1:14" ht="15" x14ac:dyDescent="0.25">
      <c r="A16" s="12"/>
      <c r="B16" s="12"/>
      <c r="C16" s="44"/>
      <c r="D16" s="66">
        <f>SUM(C14:C15)</f>
        <v>0</v>
      </c>
      <c r="E16" s="39"/>
      <c r="F16" s="40"/>
      <c r="G16" s="44"/>
      <c r="H16" s="66">
        <f>SUM(G14:G15)</f>
        <v>3890</v>
      </c>
      <c r="I16" s="41"/>
      <c r="J16" s="44"/>
      <c r="K16" s="44"/>
      <c r="L16" s="66">
        <f>K14+K15</f>
        <v>1213</v>
      </c>
      <c r="M16" s="41"/>
      <c r="N16" s="58"/>
    </row>
    <row r="17" spans="1:14" ht="15" x14ac:dyDescent="0.25">
      <c r="A17" s="12"/>
      <c r="B17" s="12"/>
      <c r="C17" s="15"/>
      <c r="D17" s="15"/>
      <c r="E17" s="39"/>
      <c r="F17" s="40"/>
      <c r="G17" s="15"/>
      <c r="H17" s="15"/>
      <c r="I17" s="41"/>
      <c r="J17" s="44"/>
      <c r="K17" s="44"/>
      <c r="L17" s="44"/>
      <c r="M17" s="39"/>
      <c r="N17" s="58"/>
    </row>
    <row r="18" spans="1:14" ht="15" x14ac:dyDescent="0.25">
      <c r="A18" s="30" t="s">
        <v>70</v>
      </c>
      <c r="B18" s="12"/>
      <c r="C18" s="15"/>
      <c r="D18" s="15">
        <f>+Expenditure!AH212</f>
        <v>84</v>
      </c>
      <c r="E18" s="39"/>
      <c r="F18" s="40"/>
      <c r="G18" s="15"/>
      <c r="H18" s="15">
        <v>100</v>
      </c>
      <c r="I18" s="41"/>
      <c r="J18" s="44"/>
      <c r="K18" s="176"/>
      <c r="L18" s="44">
        <v>80</v>
      </c>
      <c r="M18" s="39"/>
      <c r="N18" s="58"/>
    </row>
    <row r="19" spans="1:14" ht="15" x14ac:dyDescent="0.25">
      <c r="A19" s="12"/>
      <c r="B19" s="12"/>
      <c r="C19" s="15"/>
      <c r="D19" s="15"/>
      <c r="E19" s="39"/>
      <c r="F19" s="40"/>
      <c r="G19" s="15"/>
      <c r="H19" s="15"/>
      <c r="I19" s="41"/>
      <c r="J19" s="44"/>
      <c r="K19" s="176"/>
      <c r="M19" s="39"/>
      <c r="N19" s="58"/>
    </row>
    <row r="20" spans="1:14" ht="15" x14ac:dyDescent="0.25">
      <c r="A20" s="30" t="s">
        <v>71</v>
      </c>
      <c r="B20" s="12"/>
      <c r="C20" s="15"/>
      <c r="D20" s="15"/>
      <c r="E20" s="39"/>
      <c r="F20" s="40"/>
      <c r="G20" s="15"/>
      <c r="H20" s="15"/>
      <c r="I20" s="44"/>
      <c r="J20" s="64"/>
      <c r="K20" s="176"/>
      <c r="L20" s="44"/>
      <c r="M20" s="39"/>
      <c r="N20" s="58"/>
    </row>
    <row r="21" spans="1:14" ht="15" x14ac:dyDescent="0.25">
      <c r="A21" s="12" t="s">
        <v>229</v>
      </c>
      <c r="B21" s="12"/>
      <c r="C21" s="15"/>
      <c r="D21" s="15">
        <f>+Expenditure!AB15+Expenditure!AJ13+Expenditure!AJ89</f>
        <v>525.9</v>
      </c>
      <c r="E21" s="39"/>
      <c r="F21" s="40"/>
      <c r="G21" s="15"/>
      <c r="H21" s="15">
        <v>1000</v>
      </c>
      <c r="I21" s="44"/>
      <c r="J21" s="64"/>
      <c r="K21" s="176"/>
      <c r="L21" s="44">
        <v>0</v>
      </c>
      <c r="M21" s="39"/>
      <c r="N21" s="58"/>
    </row>
    <row r="22" spans="1:14" ht="15" x14ac:dyDescent="0.25">
      <c r="A22" s="12"/>
      <c r="B22" s="12"/>
      <c r="C22" s="15"/>
      <c r="D22" s="15"/>
      <c r="E22" s="39"/>
      <c r="F22" s="40"/>
      <c r="G22" s="15"/>
      <c r="H22" s="15"/>
      <c r="I22" s="44"/>
      <c r="J22" s="64"/>
      <c r="K22" s="176"/>
      <c r="M22" s="39"/>
      <c r="N22" s="58"/>
    </row>
    <row r="23" spans="1:14" ht="15" x14ac:dyDescent="0.25">
      <c r="A23" s="30" t="s">
        <v>72</v>
      </c>
      <c r="B23" s="12"/>
      <c r="C23" s="15"/>
      <c r="D23" s="15"/>
      <c r="E23" s="39"/>
      <c r="F23" s="67"/>
      <c r="G23" s="15"/>
      <c r="H23" s="15"/>
      <c r="I23" s="53"/>
      <c r="J23" s="68"/>
      <c r="K23" s="177"/>
      <c r="L23" s="53"/>
      <c r="M23" s="39"/>
      <c r="N23" s="58"/>
    </row>
    <row r="24" spans="1:14" ht="15" x14ac:dyDescent="0.25">
      <c r="A24" s="12" t="s">
        <v>226</v>
      </c>
      <c r="B24" s="12"/>
      <c r="C24" s="15"/>
      <c r="D24" s="15">
        <f>Expenditure!AJ51+Expenditure!AA14+Expenditure!AJ88+Expenditure!AD102+Expenditure!AA198-225</f>
        <v>2466</v>
      </c>
      <c r="E24" s="39"/>
      <c r="F24" s="40"/>
      <c r="G24" s="15"/>
      <c r="H24" s="15">
        <v>2500</v>
      </c>
      <c r="I24" s="44"/>
      <c r="J24" s="64"/>
      <c r="K24" s="176"/>
      <c r="L24" s="44">
        <v>60</v>
      </c>
      <c r="M24" s="39"/>
      <c r="N24" s="58"/>
    </row>
    <row r="25" spans="1:14" ht="15" x14ac:dyDescent="0.25">
      <c r="A25" s="12"/>
      <c r="B25" s="12"/>
      <c r="C25" s="15"/>
      <c r="D25" s="15"/>
      <c r="E25" s="39"/>
      <c r="F25" s="40"/>
      <c r="G25" s="15"/>
      <c r="H25" s="15"/>
      <c r="I25" s="44"/>
      <c r="J25" s="64"/>
      <c r="K25" s="176"/>
      <c r="M25" s="39"/>
      <c r="N25" s="58"/>
    </row>
    <row r="26" spans="1:14" ht="15" x14ac:dyDescent="0.25">
      <c r="A26" s="30" t="s">
        <v>73</v>
      </c>
      <c r="B26" s="12"/>
      <c r="C26" s="15"/>
      <c r="D26" s="15"/>
      <c r="E26" s="39"/>
      <c r="F26" s="40"/>
      <c r="G26" s="15"/>
      <c r="H26" s="15"/>
      <c r="I26" s="44"/>
      <c r="J26" s="64"/>
      <c r="K26" s="176"/>
      <c r="L26" s="176"/>
      <c r="M26" s="39"/>
      <c r="N26" s="58"/>
    </row>
    <row r="27" spans="1:14" ht="15" x14ac:dyDescent="0.25">
      <c r="A27" s="12" t="s">
        <v>74</v>
      </c>
      <c r="B27" s="12"/>
      <c r="C27" s="15"/>
      <c r="D27" s="15">
        <f>Expenditure!AJ122</f>
        <v>9.99</v>
      </c>
      <c r="E27" s="39"/>
      <c r="F27" s="40"/>
      <c r="G27" s="15"/>
      <c r="H27" s="15">
        <v>700</v>
      </c>
      <c r="I27" s="44"/>
      <c r="J27" s="64"/>
      <c r="K27" s="176"/>
      <c r="L27" s="176"/>
      <c r="M27" s="39"/>
      <c r="N27" s="58"/>
    </row>
    <row r="28" spans="1:14" ht="15" x14ac:dyDescent="0.25">
      <c r="A28" s="12"/>
      <c r="B28" s="12"/>
      <c r="C28" s="15"/>
      <c r="D28" s="15"/>
      <c r="E28" s="39"/>
      <c r="F28" s="40"/>
      <c r="G28" s="15"/>
      <c r="H28" s="15"/>
      <c r="I28" s="44"/>
      <c r="J28" s="64"/>
      <c r="K28" s="176"/>
      <c r="L28" s="176"/>
      <c r="M28" s="39"/>
      <c r="N28" s="58"/>
    </row>
    <row r="29" spans="1:14" ht="15" x14ac:dyDescent="0.25">
      <c r="A29" s="30" t="s">
        <v>75</v>
      </c>
      <c r="B29" s="12"/>
      <c r="C29" s="15"/>
      <c r="D29" s="15">
        <f>Expenditure!AJ47</f>
        <v>840</v>
      </c>
      <c r="E29" s="39"/>
      <c r="F29" s="40"/>
      <c r="G29" s="15"/>
      <c r="H29" s="15">
        <v>300</v>
      </c>
      <c r="I29" s="44"/>
      <c r="J29" s="64"/>
      <c r="K29" s="176"/>
      <c r="L29" s="176">
        <v>480</v>
      </c>
      <c r="M29" s="39"/>
      <c r="N29" s="58"/>
    </row>
    <row r="30" spans="1:14" ht="15" x14ac:dyDescent="0.25">
      <c r="A30" s="12"/>
      <c r="B30" s="12"/>
      <c r="C30" s="15"/>
      <c r="D30" s="15"/>
      <c r="E30" s="39"/>
      <c r="F30" s="40"/>
      <c r="G30" s="15"/>
      <c r="H30" s="15"/>
      <c r="I30" s="44"/>
      <c r="J30" s="64"/>
      <c r="K30" s="176"/>
      <c r="M30" s="39"/>
      <c r="N30" s="58"/>
    </row>
    <row r="31" spans="1:14" ht="15" x14ac:dyDescent="0.25">
      <c r="A31" s="30" t="s">
        <v>76</v>
      </c>
      <c r="B31" s="12"/>
      <c r="C31" s="15"/>
      <c r="D31" s="15"/>
      <c r="E31" s="39"/>
      <c r="F31" s="40"/>
      <c r="G31" s="15"/>
      <c r="H31" s="15">
        <v>100</v>
      </c>
      <c r="I31" s="44"/>
      <c r="J31" s="64"/>
      <c r="K31" s="176"/>
      <c r="L31" s="176">
        <v>0</v>
      </c>
      <c r="M31" s="39"/>
      <c r="N31" s="58"/>
    </row>
    <row r="32" spans="1:14" ht="15" x14ac:dyDescent="0.25">
      <c r="A32" s="12"/>
      <c r="B32" s="12"/>
      <c r="C32" s="15"/>
      <c r="D32" s="15"/>
      <c r="E32" s="39"/>
      <c r="F32" s="40"/>
      <c r="G32" s="15"/>
      <c r="H32" s="15"/>
      <c r="I32" s="44"/>
      <c r="J32" s="64"/>
      <c r="K32" s="176"/>
      <c r="L32" s="176"/>
      <c r="M32" s="39"/>
      <c r="N32" s="58"/>
    </row>
    <row r="33" spans="1:14" ht="15" x14ac:dyDescent="0.25">
      <c r="A33" s="30" t="s">
        <v>83</v>
      </c>
      <c r="B33" s="12"/>
      <c r="C33" s="15"/>
      <c r="D33" s="15"/>
      <c r="E33" s="39"/>
      <c r="F33" s="40"/>
      <c r="G33" s="15"/>
      <c r="H33" s="15"/>
      <c r="I33" s="44"/>
      <c r="J33" s="64"/>
      <c r="K33" s="176"/>
      <c r="L33" s="176"/>
      <c r="M33" s="39"/>
      <c r="N33" s="58"/>
    </row>
    <row r="34" spans="1:14" ht="15" x14ac:dyDescent="0.25">
      <c r="A34" s="12" t="s">
        <v>77</v>
      </c>
      <c r="B34" s="12"/>
      <c r="C34" s="44"/>
      <c r="D34" s="44"/>
      <c r="E34" s="39"/>
      <c r="F34" s="40"/>
      <c r="G34" s="44"/>
      <c r="H34" s="44"/>
      <c r="I34" s="44"/>
      <c r="J34" s="64"/>
      <c r="K34" s="44"/>
      <c r="L34" s="176"/>
      <c r="M34" s="39"/>
      <c r="N34" s="58"/>
    </row>
    <row r="35" spans="1:14" ht="15" x14ac:dyDescent="0.25">
      <c r="A35" s="12" t="s">
        <v>5</v>
      </c>
      <c r="B35" s="12"/>
      <c r="C35" s="44"/>
      <c r="D35" s="44"/>
      <c r="E35" s="39"/>
      <c r="F35" s="40"/>
      <c r="G35" s="182"/>
      <c r="H35" s="44"/>
      <c r="I35" s="44"/>
      <c r="J35" s="64"/>
      <c r="L35" s="176"/>
      <c r="M35" s="39"/>
      <c r="N35" s="58"/>
    </row>
    <row r="36" spans="1:14" ht="15" x14ac:dyDescent="0.25">
      <c r="A36" s="12" t="s">
        <v>92</v>
      </c>
      <c r="B36" s="12"/>
      <c r="C36" s="44"/>
      <c r="D36" s="44"/>
      <c r="E36" s="39"/>
      <c r="F36" s="40"/>
      <c r="G36" s="44"/>
      <c r="H36" s="44"/>
      <c r="I36" s="44"/>
      <c r="J36" s="64"/>
      <c r="K36" s="180"/>
      <c r="L36" s="176"/>
      <c r="M36" s="39"/>
      <c r="N36" s="58"/>
    </row>
    <row r="37" spans="1:14" ht="15" x14ac:dyDescent="0.25">
      <c r="A37" s="12" t="s">
        <v>78</v>
      </c>
      <c r="B37" s="12"/>
      <c r="C37" s="43"/>
      <c r="D37" s="43"/>
      <c r="E37" s="39"/>
      <c r="F37" s="40"/>
      <c r="G37" s="43">
        <v>1000</v>
      </c>
      <c r="H37" s="43"/>
      <c r="I37" s="44"/>
      <c r="J37" s="64"/>
      <c r="K37" s="43"/>
      <c r="L37" s="43">
        <v>717</v>
      </c>
      <c r="M37" s="39"/>
      <c r="N37" s="58"/>
    </row>
    <row r="38" spans="1:14" ht="15" x14ac:dyDescent="0.25">
      <c r="A38" s="12"/>
      <c r="B38" s="12"/>
      <c r="C38" s="44"/>
      <c r="D38" s="43"/>
      <c r="E38" s="39"/>
      <c r="F38" s="40"/>
      <c r="G38" s="44"/>
      <c r="H38" s="43">
        <f>SUM(G34:G37)</f>
        <v>1000</v>
      </c>
      <c r="I38" s="44"/>
      <c r="J38" s="64"/>
      <c r="K38" s="44"/>
      <c r="L38" s="43">
        <f>L18+L21+L24+L27+L29+L31+L37</f>
        <v>1337</v>
      </c>
      <c r="M38" s="39"/>
      <c r="N38" s="58"/>
    </row>
    <row r="39" spans="1:14" ht="15" x14ac:dyDescent="0.25">
      <c r="A39" s="12"/>
      <c r="B39" s="12"/>
      <c r="C39" s="15"/>
      <c r="D39" s="15"/>
      <c r="E39" s="39"/>
      <c r="F39" s="40"/>
      <c r="G39" s="15"/>
      <c r="H39" s="15"/>
      <c r="I39" s="44"/>
      <c r="J39" s="64"/>
      <c r="K39" s="176"/>
      <c r="L39" s="176"/>
      <c r="M39" s="39"/>
      <c r="N39" s="58"/>
    </row>
    <row r="40" spans="1:14" ht="15" x14ac:dyDescent="0.25">
      <c r="A40" s="30" t="s">
        <v>79</v>
      </c>
      <c r="B40" s="12"/>
      <c r="C40" s="15"/>
      <c r="D40" s="15">
        <f>+Expenditure!AJ26</f>
        <v>0</v>
      </c>
      <c r="E40" s="39"/>
      <c r="F40" s="40"/>
      <c r="G40" s="15"/>
      <c r="H40" s="15">
        <v>1000</v>
      </c>
      <c r="I40" s="44"/>
      <c r="J40" s="64"/>
      <c r="K40" s="176"/>
      <c r="L40" s="176">
        <v>2814</v>
      </c>
      <c r="M40" s="39"/>
      <c r="N40" s="58"/>
    </row>
    <row r="41" spans="1:14" ht="15" x14ac:dyDescent="0.25">
      <c r="A41" s="30"/>
      <c r="B41" s="12"/>
      <c r="C41" s="15"/>
      <c r="D41" s="15"/>
      <c r="E41" s="39"/>
      <c r="F41" s="40"/>
      <c r="G41" s="15"/>
      <c r="H41" s="15"/>
      <c r="I41" s="44"/>
      <c r="J41" s="64"/>
      <c r="K41" s="176"/>
      <c r="L41" s="176"/>
      <c r="M41" s="39"/>
      <c r="N41" s="58"/>
    </row>
    <row r="42" spans="1:14" ht="15" x14ac:dyDescent="0.25">
      <c r="A42" s="30" t="s">
        <v>165</v>
      </c>
      <c r="B42" s="12"/>
      <c r="C42" s="15"/>
      <c r="D42" s="15"/>
      <c r="E42" s="39"/>
      <c r="F42" s="40"/>
      <c r="G42" s="15"/>
      <c r="H42" s="15"/>
      <c r="I42" s="44"/>
      <c r="J42" s="64"/>
      <c r="K42" s="176"/>
      <c r="L42" s="176"/>
      <c r="M42" s="39"/>
      <c r="N42" s="58"/>
    </row>
    <row r="43" spans="1:14" ht="15" x14ac:dyDescent="0.25">
      <c r="A43" s="30"/>
      <c r="B43" s="12"/>
      <c r="C43" s="15"/>
      <c r="D43" s="15"/>
      <c r="E43" s="39"/>
      <c r="F43" s="40"/>
      <c r="G43" s="15"/>
      <c r="H43" s="15"/>
      <c r="I43" s="44"/>
      <c r="J43" s="64"/>
      <c r="K43" s="176"/>
      <c r="L43" s="176"/>
      <c r="M43" s="39"/>
      <c r="N43" s="58"/>
    </row>
    <row r="44" spans="1:14" ht="15" x14ac:dyDescent="0.25">
      <c r="A44" s="30" t="s">
        <v>406</v>
      </c>
      <c r="B44" s="12"/>
      <c r="C44" s="15"/>
      <c r="D44" s="15">
        <f>Expenditure!AJ74+Expenditure!AJ139+Expenditure!AJ141+Expenditure!AJ162+Expenditure!AJ172+Expenditure!AJ182</f>
        <v>1785</v>
      </c>
      <c r="E44" s="39"/>
      <c r="F44" s="40"/>
      <c r="G44" s="15"/>
      <c r="H44" s="15">
        <v>2000</v>
      </c>
      <c r="I44" s="44"/>
      <c r="J44" s="64"/>
      <c r="K44" s="176"/>
      <c r="L44" s="176">
        <v>2300</v>
      </c>
      <c r="M44" s="39"/>
      <c r="N44" s="58"/>
    </row>
    <row r="45" spans="1:14" ht="15" x14ac:dyDescent="0.25">
      <c r="A45" s="30"/>
      <c r="B45" s="12"/>
      <c r="C45" s="15"/>
      <c r="D45" s="15"/>
      <c r="E45" s="39"/>
      <c r="F45" s="40"/>
      <c r="G45" s="15"/>
      <c r="H45" s="15"/>
      <c r="I45" s="44"/>
      <c r="J45" s="64"/>
      <c r="K45" s="176"/>
      <c r="L45" s="176"/>
      <c r="M45" s="39"/>
      <c r="N45" s="58"/>
    </row>
    <row r="46" spans="1:14" ht="15" x14ac:dyDescent="0.25">
      <c r="A46" s="30" t="s">
        <v>307</v>
      </c>
      <c r="B46" s="12"/>
      <c r="C46" s="15"/>
      <c r="D46" s="15">
        <f>[1]Expenditure!$AJ$7+Expenditure!AJ148+Expenditure!AJ136+Expenditure!AJ157</f>
        <v>1407.5900000000001</v>
      </c>
      <c r="E46" s="39"/>
      <c r="F46" s="40"/>
      <c r="G46" s="15"/>
      <c r="H46" s="15">
        <v>1000</v>
      </c>
      <c r="I46" s="44"/>
      <c r="J46" s="64"/>
      <c r="K46" s="176"/>
      <c r="L46" s="176"/>
      <c r="M46" s="39"/>
      <c r="N46" s="58"/>
    </row>
    <row r="47" spans="1:14" ht="15" x14ac:dyDescent="0.25">
      <c r="A47" s="12"/>
      <c r="B47" s="12"/>
      <c r="C47" s="15"/>
      <c r="D47" s="15"/>
      <c r="E47" s="39"/>
      <c r="F47" s="40"/>
      <c r="G47" s="15"/>
      <c r="H47" s="15"/>
      <c r="I47" s="44"/>
      <c r="J47" s="64"/>
      <c r="K47" s="176"/>
      <c r="L47" s="176"/>
      <c r="M47" s="39"/>
      <c r="N47" s="58"/>
    </row>
    <row r="48" spans="1:14" ht="15" x14ac:dyDescent="0.25">
      <c r="A48" s="30" t="s">
        <v>362</v>
      </c>
      <c r="B48" s="12"/>
      <c r="C48" s="15"/>
      <c r="D48" s="15">
        <f>Expenditure!AJ79</f>
        <v>220</v>
      </c>
      <c r="E48" s="39"/>
      <c r="F48" s="40"/>
      <c r="G48" s="15"/>
      <c r="H48" s="15"/>
      <c r="I48" s="44"/>
      <c r="J48" s="64"/>
      <c r="K48" s="176"/>
      <c r="L48" s="176"/>
      <c r="M48" s="39"/>
      <c r="N48" s="58"/>
    </row>
    <row r="49" spans="1:14" ht="15" x14ac:dyDescent="0.25">
      <c r="A49" s="12"/>
      <c r="B49" s="12"/>
      <c r="C49" s="15"/>
      <c r="D49" s="15"/>
      <c r="E49" s="39"/>
      <c r="F49" s="40"/>
      <c r="G49" s="15"/>
      <c r="H49" s="15"/>
      <c r="I49" s="44"/>
      <c r="J49" s="64"/>
      <c r="K49" s="176"/>
      <c r="L49" s="176"/>
      <c r="M49" s="39"/>
      <c r="N49" s="58"/>
    </row>
    <row r="50" spans="1:14" ht="15" x14ac:dyDescent="0.25">
      <c r="A50" s="30" t="s">
        <v>174</v>
      </c>
      <c r="B50" s="12"/>
      <c r="C50" s="15"/>
      <c r="D50" s="15">
        <f>+Expenditure!AJ173+225</f>
        <v>824.95</v>
      </c>
      <c r="E50" s="39"/>
      <c r="F50" s="40"/>
      <c r="G50" s="15"/>
      <c r="H50" s="15">
        <v>650</v>
      </c>
      <c r="I50" s="44"/>
      <c r="J50" s="64"/>
      <c r="K50" s="176"/>
      <c r="L50" s="176">
        <v>65</v>
      </c>
      <c r="M50" s="39"/>
      <c r="N50" s="58"/>
    </row>
    <row r="51" spans="1:14" ht="15" x14ac:dyDescent="0.25">
      <c r="A51" s="12"/>
      <c r="B51" s="12"/>
      <c r="C51" s="15"/>
      <c r="D51" s="15"/>
      <c r="E51" s="39"/>
      <c r="F51" s="40"/>
      <c r="G51" s="15"/>
      <c r="H51" s="15"/>
      <c r="I51" s="44"/>
      <c r="J51" s="64"/>
      <c r="K51" s="176"/>
      <c r="L51" s="176"/>
      <c r="M51" s="39"/>
      <c r="N51" s="58"/>
    </row>
    <row r="52" spans="1:14" ht="15" x14ac:dyDescent="0.25">
      <c r="A52" s="30" t="s">
        <v>175</v>
      </c>
      <c r="B52" s="12"/>
      <c r="C52" s="15"/>
      <c r="D52" s="15"/>
      <c r="E52" s="39"/>
      <c r="F52" s="40"/>
      <c r="G52" s="15"/>
      <c r="H52" s="15">
        <v>2000</v>
      </c>
      <c r="I52" s="44"/>
      <c r="J52" s="64"/>
      <c r="K52" s="176"/>
      <c r="L52" s="176"/>
      <c r="M52" s="39"/>
      <c r="N52" s="58"/>
    </row>
    <row r="53" spans="1:14" ht="15" x14ac:dyDescent="0.25">
      <c r="A53" s="30"/>
      <c r="B53" s="12"/>
      <c r="C53" s="15"/>
      <c r="D53" s="15"/>
      <c r="E53" s="39"/>
      <c r="F53" s="40"/>
      <c r="G53" s="15"/>
      <c r="H53" s="15"/>
      <c r="I53" s="44"/>
      <c r="J53" s="64"/>
      <c r="K53" s="176"/>
      <c r="L53" s="176">
        <v>7003</v>
      </c>
      <c r="M53" s="39"/>
      <c r="N53" s="58"/>
    </row>
    <row r="54" spans="1:14" ht="15" x14ac:dyDescent="0.25">
      <c r="A54" s="30" t="s">
        <v>311</v>
      </c>
      <c r="B54" s="12"/>
      <c r="C54" s="15"/>
      <c r="D54" s="15">
        <f>Expenditure!AJ42+Expenditure!AJ61+Expenditure!AJ62+Expenditure!AJ64+Expenditure!AJ65+Expenditure!AJ56+Expenditure!AJ58+Expenditure!AJ60+Expenditure!AJ35+Expenditure!AJ187</f>
        <v>1971.39</v>
      </c>
      <c r="E54" s="39"/>
      <c r="F54" s="40"/>
      <c r="G54" s="15"/>
      <c r="H54" s="15">
        <v>1000</v>
      </c>
      <c r="I54" s="44"/>
      <c r="J54" s="64"/>
      <c r="K54" s="176"/>
      <c r="L54" s="176"/>
      <c r="M54" s="39"/>
      <c r="N54" s="58"/>
    </row>
    <row r="55" spans="1:14" ht="15" x14ac:dyDescent="0.25">
      <c r="A55" s="12"/>
      <c r="B55" s="12"/>
      <c r="C55" s="15"/>
      <c r="D55" s="15"/>
      <c r="E55" s="39"/>
      <c r="F55" s="40"/>
      <c r="G55" s="15"/>
      <c r="H55" s="15"/>
      <c r="I55" s="44"/>
      <c r="J55" s="64"/>
      <c r="K55" s="176"/>
      <c r="L55" s="176"/>
      <c r="M55" s="39"/>
      <c r="N55" s="58"/>
    </row>
    <row r="56" spans="1:14" ht="15" x14ac:dyDescent="0.25">
      <c r="A56" s="30" t="s">
        <v>80</v>
      </c>
      <c r="B56" s="12"/>
      <c r="C56" s="15"/>
      <c r="D56" s="15">
        <f>Expenditure!AJ11</f>
        <v>56.99</v>
      </c>
      <c r="E56" s="39"/>
      <c r="F56" s="40"/>
      <c r="G56" s="15"/>
      <c r="H56" s="15">
        <v>500</v>
      </c>
      <c r="I56" s="44"/>
      <c r="J56" s="64"/>
      <c r="K56" s="176"/>
      <c r="L56" s="44">
        <v>282</v>
      </c>
      <c r="M56" s="39"/>
      <c r="N56" s="58"/>
    </row>
    <row r="57" spans="1:14" ht="15" x14ac:dyDescent="0.25">
      <c r="A57" s="12"/>
      <c r="B57" s="12"/>
      <c r="C57" s="15"/>
      <c r="D57" s="15"/>
      <c r="E57" s="39"/>
      <c r="F57" s="40"/>
      <c r="G57" s="15"/>
      <c r="H57" s="15"/>
      <c r="I57" s="44"/>
      <c r="J57" s="64"/>
      <c r="K57" s="176"/>
      <c r="L57" s="176"/>
      <c r="M57" s="39"/>
      <c r="N57" s="58"/>
    </row>
    <row r="58" spans="1:14" ht="15.75" thickBot="1" x14ac:dyDescent="0.3">
      <c r="A58" s="30"/>
      <c r="B58" s="12"/>
      <c r="C58" s="15"/>
      <c r="D58" s="56">
        <f>SUM(D9:D57)</f>
        <v>32072.74</v>
      </c>
      <c r="E58" s="39"/>
      <c r="F58" s="40"/>
      <c r="G58" s="31"/>
      <c r="H58" s="56">
        <f>SUM(H9:H57)</f>
        <v>36515</v>
      </c>
      <c r="I58" s="44"/>
      <c r="J58" s="64"/>
      <c r="K58" s="176"/>
      <c r="L58" s="56">
        <f>L9+L16+L38+L40+L44+L50+L53+L56</f>
        <v>27531</v>
      </c>
      <c r="M58" s="39"/>
      <c r="N58" s="58"/>
    </row>
    <row r="59" spans="1:14" ht="15" x14ac:dyDescent="0.25">
      <c r="A59" s="12"/>
      <c r="B59" s="12"/>
      <c r="C59" s="15"/>
      <c r="D59" s="15"/>
      <c r="E59" s="39"/>
      <c r="F59" s="44"/>
      <c r="G59" s="15"/>
      <c r="H59" s="15"/>
      <c r="I59" s="44"/>
      <c r="J59" s="64"/>
      <c r="K59" s="176"/>
      <c r="L59" s="176"/>
      <c r="M59" s="39"/>
      <c r="N59" s="58"/>
    </row>
    <row r="60" spans="1:14" ht="15" x14ac:dyDescent="0.25">
      <c r="A60" s="30" t="s">
        <v>82</v>
      </c>
      <c r="B60" s="30"/>
      <c r="C60" s="31"/>
      <c r="D60" s="31"/>
      <c r="E60" s="31"/>
      <c r="F60" s="46"/>
      <c r="G60" s="31"/>
      <c r="H60" s="31"/>
      <c r="I60" s="46"/>
      <c r="J60" s="46"/>
      <c r="K60" s="179"/>
      <c r="L60" s="179"/>
      <c r="M60" s="46"/>
      <c r="N60" s="58"/>
    </row>
    <row r="61" spans="1:14" ht="15" x14ac:dyDescent="0.25">
      <c r="A61" s="12"/>
      <c r="B61" s="12"/>
      <c r="C61" s="15"/>
      <c r="D61" s="15"/>
      <c r="E61" s="15"/>
      <c r="F61" s="53"/>
      <c r="G61" s="15"/>
      <c r="H61" s="15"/>
      <c r="I61" s="53"/>
      <c r="J61" s="53"/>
      <c r="K61" s="177"/>
      <c r="L61" s="177"/>
      <c r="M61" s="53"/>
      <c r="N61" s="58"/>
    </row>
    <row r="62" spans="1:14" ht="15" x14ac:dyDescent="0.25">
      <c r="A62" s="30"/>
      <c r="B62" s="30"/>
      <c r="C62" s="31"/>
      <c r="D62" s="31"/>
      <c r="E62" s="31"/>
      <c r="F62" s="53"/>
      <c r="G62" s="53"/>
      <c r="H62" s="53"/>
      <c r="I62" s="53"/>
      <c r="J62" s="53"/>
      <c r="K62" s="177"/>
      <c r="L62" s="177"/>
      <c r="M62" s="53"/>
      <c r="N62" s="58"/>
    </row>
    <row r="63" spans="1:14" ht="15" x14ac:dyDescent="0.25">
      <c r="A63" s="30"/>
      <c r="B63" s="30"/>
      <c r="C63" s="31"/>
      <c r="D63" s="31"/>
      <c r="E63" s="31"/>
      <c r="F63" s="53"/>
      <c r="G63" s="53"/>
      <c r="H63" s="53"/>
      <c r="I63" s="53"/>
      <c r="J63" s="53"/>
      <c r="K63" s="53"/>
      <c r="L63" s="53"/>
      <c r="M63" s="53"/>
      <c r="N63" s="58"/>
    </row>
    <row r="64" spans="1:14" ht="15" x14ac:dyDescent="0.25">
      <c r="A64" s="12"/>
      <c r="B64" s="12"/>
      <c r="C64" s="15"/>
      <c r="D64" s="15"/>
      <c r="E64" s="15"/>
      <c r="F64" s="53"/>
      <c r="G64" s="53"/>
      <c r="H64" s="53"/>
      <c r="I64" s="53"/>
      <c r="J64" s="53"/>
      <c r="K64" s="53"/>
      <c r="L64" s="53"/>
      <c r="M64" s="53"/>
      <c r="N64" s="58"/>
    </row>
    <row r="65" spans="1:14" x14ac:dyDescent="0.2">
      <c r="C65" s="58"/>
      <c r="D65" s="58"/>
      <c r="E65" s="58"/>
      <c r="F65" s="70"/>
      <c r="G65" s="70"/>
      <c r="H65" s="70"/>
      <c r="I65" s="70"/>
      <c r="J65" s="70"/>
      <c r="K65" s="70"/>
      <c r="L65" s="70"/>
      <c r="M65" s="70"/>
      <c r="N65" s="58"/>
    </row>
    <row r="66" spans="1:14" x14ac:dyDescent="0.2">
      <c r="A66" s="50"/>
      <c r="B66" s="50"/>
      <c r="C66" s="69"/>
      <c r="D66" s="69"/>
      <c r="E66" s="69"/>
      <c r="F66" s="70"/>
      <c r="G66" s="70"/>
      <c r="H66" s="70"/>
      <c r="I66" s="70"/>
      <c r="J66" s="70"/>
      <c r="K66" s="70"/>
      <c r="L66" s="70"/>
      <c r="M66" s="70"/>
      <c r="N66" s="58"/>
    </row>
    <row r="67" spans="1:14" x14ac:dyDescent="0.2">
      <c r="A67" s="50"/>
      <c r="B67" s="50"/>
      <c r="C67" s="69"/>
      <c r="D67" s="69"/>
      <c r="E67" s="69"/>
      <c r="F67" s="2"/>
      <c r="G67" s="2"/>
      <c r="H67" s="2"/>
      <c r="I67" s="2"/>
      <c r="J67" s="2"/>
      <c r="K67" s="2"/>
      <c r="L67" s="2"/>
      <c r="M67" s="2"/>
      <c r="N67" s="58"/>
    </row>
    <row r="68" spans="1:14" x14ac:dyDescent="0.2">
      <c r="A68" s="50"/>
      <c r="B68" s="50"/>
      <c r="C68" s="69"/>
      <c r="D68" s="69"/>
      <c r="E68" s="69"/>
      <c r="F68" s="2"/>
      <c r="G68" s="2"/>
      <c r="H68" s="2"/>
      <c r="I68" s="2"/>
      <c r="J68" s="2"/>
      <c r="K68" s="2"/>
      <c r="L68" s="2"/>
      <c r="M68" s="2"/>
      <c r="N68" s="58"/>
    </row>
    <row r="69" spans="1:14" x14ac:dyDescent="0.2">
      <c r="A69" s="50"/>
      <c r="B69" s="50"/>
      <c r="C69" s="69"/>
      <c r="D69" s="69"/>
      <c r="E69" s="69"/>
      <c r="F69" s="2"/>
      <c r="G69" s="2"/>
      <c r="H69" s="2"/>
      <c r="I69" s="2"/>
      <c r="J69" s="2"/>
      <c r="K69" s="2"/>
      <c r="L69" s="2"/>
      <c r="M69" s="2"/>
      <c r="N69" s="58"/>
    </row>
    <row r="70" spans="1:14" x14ac:dyDescent="0.2">
      <c r="A70" s="50"/>
      <c r="B70" s="50"/>
      <c r="C70" s="69"/>
      <c r="D70" s="69"/>
      <c r="E70" s="69"/>
      <c r="F70" s="2"/>
      <c r="G70" s="2"/>
      <c r="H70" s="2"/>
      <c r="I70" s="2"/>
      <c r="J70" s="2"/>
      <c r="K70" s="2"/>
      <c r="L70" s="2"/>
      <c r="M70" s="2"/>
      <c r="N70" s="58"/>
    </row>
    <row r="71" spans="1:14" x14ac:dyDescent="0.2">
      <c r="A71" s="50"/>
      <c r="B71" s="50"/>
      <c r="C71" s="69"/>
      <c r="D71" s="69"/>
      <c r="E71" s="69"/>
      <c r="F71" s="2"/>
      <c r="G71" s="2"/>
      <c r="H71" s="2"/>
      <c r="I71" s="2"/>
      <c r="J71" s="2"/>
      <c r="K71" s="2"/>
      <c r="L71" s="2"/>
      <c r="M71" s="2"/>
      <c r="N71" s="58"/>
    </row>
    <row r="72" spans="1:14" x14ac:dyDescent="0.2">
      <c r="A72" s="50"/>
      <c r="B72" s="50"/>
      <c r="C72" s="69"/>
      <c r="D72" s="69"/>
      <c r="E72" s="69"/>
      <c r="F72" s="2"/>
      <c r="G72" s="2"/>
      <c r="H72" s="2"/>
      <c r="I72" s="2"/>
      <c r="J72" s="2"/>
      <c r="K72" s="2"/>
      <c r="L72" s="2"/>
      <c r="M72" s="2"/>
      <c r="N72" s="58"/>
    </row>
    <row r="73" spans="1:14" x14ac:dyDescent="0.2">
      <c r="A73" s="50"/>
      <c r="B73" s="50"/>
      <c r="C73" s="69"/>
      <c r="D73" s="69"/>
      <c r="E73" s="69"/>
      <c r="F73" s="2"/>
      <c r="G73" s="2"/>
      <c r="H73" s="2"/>
      <c r="I73" s="2"/>
      <c r="J73" s="2"/>
      <c r="K73" s="2"/>
      <c r="L73" s="2"/>
      <c r="M73" s="2"/>
      <c r="N73" s="58"/>
    </row>
    <row r="74" spans="1:14" x14ac:dyDescent="0.2">
      <c r="A74" s="50"/>
      <c r="B74" s="50"/>
      <c r="C74" s="69"/>
      <c r="D74" s="69"/>
      <c r="E74" s="69"/>
      <c r="F74" s="2"/>
      <c r="G74" s="2"/>
      <c r="H74" s="2"/>
      <c r="I74" s="2"/>
      <c r="J74" s="2"/>
      <c r="K74" s="2"/>
      <c r="L74" s="2"/>
      <c r="M74" s="2"/>
      <c r="N74" s="58"/>
    </row>
    <row r="75" spans="1:14" x14ac:dyDescent="0.2">
      <c r="A75" s="50"/>
      <c r="B75" s="50"/>
      <c r="C75" s="50"/>
      <c r="D75" s="50"/>
      <c r="E75" s="50"/>
    </row>
    <row r="76" spans="1:14" x14ac:dyDescent="0.2">
      <c r="A76" s="50"/>
      <c r="B76" s="50"/>
      <c r="C76" s="50"/>
      <c r="D76" s="50"/>
      <c r="E76" s="50"/>
    </row>
    <row r="77" spans="1:14" x14ac:dyDescent="0.2">
      <c r="A77" s="50"/>
      <c r="B77" s="50"/>
      <c r="C77" s="50"/>
      <c r="D77" s="50"/>
      <c r="E77" s="50"/>
    </row>
    <row r="78" spans="1:14" x14ac:dyDescent="0.2">
      <c r="A78" s="50"/>
      <c r="B78" s="50"/>
      <c r="C78" s="50"/>
      <c r="D78" s="50"/>
      <c r="E78" s="50"/>
    </row>
    <row r="79" spans="1:14" x14ac:dyDescent="0.2">
      <c r="A79" s="50"/>
      <c r="B79" s="50"/>
      <c r="C79" s="50"/>
      <c r="D79" s="50"/>
      <c r="E79" s="50"/>
    </row>
    <row r="80" spans="1:14" x14ac:dyDescent="0.2">
      <c r="A80" s="50"/>
      <c r="B80" s="50"/>
      <c r="C80" s="50"/>
      <c r="D80" s="50"/>
      <c r="E80" s="50"/>
    </row>
    <row r="81" spans="1:5" x14ac:dyDescent="0.2">
      <c r="A81" s="50"/>
      <c r="B81" s="50"/>
      <c r="C81" s="50"/>
      <c r="D81" s="50"/>
      <c r="E81" s="50"/>
    </row>
    <row r="82" spans="1:5" x14ac:dyDescent="0.2">
      <c r="A82" s="50"/>
      <c r="B82" s="50"/>
      <c r="C82" s="50"/>
      <c r="D82" s="50"/>
      <c r="E82" s="50"/>
    </row>
    <row r="83" spans="1:5" x14ac:dyDescent="0.2">
      <c r="A83" s="50"/>
      <c r="B83" s="50"/>
      <c r="C83" s="50"/>
      <c r="D83" s="50"/>
      <c r="E83" s="50"/>
    </row>
    <row r="84" spans="1:5" x14ac:dyDescent="0.2">
      <c r="A84" s="50"/>
      <c r="B84" s="50"/>
      <c r="C84" s="50"/>
      <c r="D84" s="50"/>
      <c r="E84" s="50"/>
    </row>
    <row r="85" spans="1:5" x14ac:dyDescent="0.2">
      <c r="A85" s="50"/>
      <c r="B85" s="50"/>
      <c r="C85" s="50"/>
      <c r="D85" s="50"/>
      <c r="E85" s="50"/>
    </row>
    <row r="86" spans="1:5" x14ac:dyDescent="0.2">
      <c r="A86" s="50"/>
      <c r="B86" s="50"/>
      <c r="C86" s="50"/>
      <c r="D86" s="50"/>
      <c r="E86" s="50"/>
    </row>
    <row r="87" spans="1:5" x14ac:dyDescent="0.2">
      <c r="A87" s="50"/>
      <c r="B87" s="50"/>
      <c r="C87" s="50"/>
      <c r="D87" s="50"/>
      <c r="E87" s="50"/>
    </row>
    <row r="88" spans="1:5" x14ac:dyDescent="0.2">
      <c r="A88" s="50"/>
      <c r="B88" s="50"/>
      <c r="C88" s="50"/>
      <c r="D88" s="50"/>
      <c r="E88" s="50"/>
    </row>
    <row r="89" spans="1:5" x14ac:dyDescent="0.2">
      <c r="A89" s="50"/>
      <c r="B89" s="50"/>
      <c r="C89" s="50"/>
      <c r="D89" s="50"/>
      <c r="E89" s="50"/>
    </row>
    <row r="90" spans="1:5" x14ac:dyDescent="0.2">
      <c r="A90" s="50"/>
      <c r="B90" s="50"/>
      <c r="C90" s="50"/>
      <c r="D90" s="50"/>
      <c r="E90" s="50"/>
    </row>
    <row r="91" spans="1:5" x14ac:dyDescent="0.2">
      <c r="A91" s="50"/>
      <c r="B91" s="50"/>
      <c r="C91" s="50"/>
      <c r="D91" s="50"/>
      <c r="E91" s="50"/>
    </row>
    <row r="92" spans="1:5" x14ac:dyDescent="0.2">
      <c r="A92" s="50"/>
      <c r="B92" s="50"/>
      <c r="C92" s="50"/>
      <c r="D92" s="50"/>
      <c r="E92" s="50"/>
    </row>
    <row r="93" spans="1:5" x14ac:dyDescent="0.2">
      <c r="A93" s="50"/>
      <c r="B93" s="50"/>
      <c r="C93" s="50"/>
      <c r="D93" s="50"/>
      <c r="E93" s="50"/>
    </row>
    <row r="94" spans="1:5" x14ac:dyDescent="0.2">
      <c r="A94" s="50"/>
      <c r="B94" s="50"/>
      <c r="C94" s="50"/>
      <c r="D94" s="50"/>
      <c r="E94" s="50"/>
    </row>
    <row r="95" spans="1:5" x14ac:dyDescent="0.2">
      <c r="A95" s="50"/>
      <c r="B95" s="50"/>
      <c r="C95" s="50"/>
      <c r="D95" s="50"/>
      <c r="E95" s="50"/>
    </row>
    <row r="96" spans="1:5" x14ac:dyDescent="0.2">
      <c r="A96" s="50"/>
      <c r="B96" s="50"/>
      <c r="C96" s="50"/>
      <c r="D96" s="50"/>
      <c r="E96" s="50"/>
    </row>
    <row r="97" spans="1:5" x14ac:dyDescent="0.2">
      <c r="A97" s="50"/>
      <c r="B97" s="50"/>
      <c r="C97" s="50"/>
      <c r="D97" s="50"/>
      <c r="E97" s="50"/>
    </row>
    <row r="98" spans="1:5" x14ac:dyDescent="0.2">
      <c r="A98" s="50"/>
      <c r="B98" s="50"/>
      <c r="C98" s="50"/>
      <c r="D98" s="50"/>
      <c r="E98" s="50"/>
    </row>
    <row r="99" spans="1:5" x14ac:dyDescent="0.2">
      <c r="A99" s="50"/>
      <c r="B99" s="50"/>
      <c r="C99" s="50"/>
      <c r="D99" s="50"/>
      <c r="E99" s="50"/>
    </row>
    <row r="100" spans="1:5" x14ac:dyDescent="0.2">
      <c r="A100" s="50"/>
      <c r="B100" s="50"/>
      <c r="C100" s="50"/>
      <c r="D100" s="50"/>
      <c r="E100" s="50"/>
    </row>
    <row r="101" spans="1:5" x14ac:dyDescent="0.2">
      <c r="A101" s="50"/>
      <c r="B101" s="50"/>
      <c r="C101" s="50"/>
      <c r="D101" s="50"/>
      <c r="E101" s="50"/>
    </row>
    <row r="102" spans="1:5" x14ac:dyDescent="0.2">
      <c r="A102" s="50"/>
      <c r="B102" s="50"/>
      <c r="C102" s="50"/>
      <c r="D102" s="50"/>
      <c r="E102" s="50"/>
    </row>
    <row r="103" spans="1:5" x14ac:dyDescent="0.2">
      <c r="A103" s="50"/>
      <c r="B103" s="50"/>
      <c r="C103" s="50"/>
      <c r="D103" s="50"/>
      <c r="E103" s="50"/>
    </row>
    <row r="104" spans="1:5" x14ac:dyDescent="0.2">
      <c r="A104" s="50"/>
      <c r="B104" s="50"/>
      <c r="C104" s="50"/>
      <c r="D104" s="50"/>
      <c r="E104" s="50"/>
    </row>
    <row r="105" spans="1:5" x14ac:dyDescent="0.2">
      <c r="A105" s="50"/>
      <c r="B105" s="50"/>
      <c r="C105" s="50"/>
      <c r="D105" s="50"/>
      <c r="E105" s="50"/>
    </row>
    <row r="106" spans="1:5" x14ac:dyDescent="0.2">
      <c r="A106" s="50"/>
      <c r="B106" s="50"/>
      <c r="C106" s="50"/>
      <c r="D106" s="50"/>
      <c r="E106" s="50"/>
    </row>
    <row r="107" spans="1:5" x14ac:dyDescent="0.2">
      <c r="A107" s="50"/>
      <c r="B107" s="50"/>
      <c r="C107" s="50"/>
      <c r="D107" s="50"/>
      <c r="E107" s="50"/>
    </row>
    <row r="108" spans="1:5" x14ac:dyDescent="0.2">
      <c r="A108" s="50"/>
      <c r="B108" s="50"/>
      <c r="C108" s="50"/>
      <c r="D108" s="50"/>
      <c r="E108" s="50"/>
    </row>
    <row r="109" spans="1:5" x14ac:dyDescent="0.2">
      <c r="A109" s="50"/>
      <c r="B109" s="50"/>
      <c r="C109" s="50"/>
      <c r="D109" s="50"/>
      <c r="E109" s="50"/>
    </row>
    <row r="110" spans="1:5" x14ac:dyDescent="0.2">
      <c r="A110" s="50"/>
      <c r="B110" s="50"/>
      <c r="C110" s="50"/>
      <c r="D110" s="50"/>
      <c r="E110" s="50"/>
    </row>
    <row r="111" spans="1:5" x14ac:dyDescent="0.2">
      <c r="A111" s="50"/>
      <c r="B111" s="50"/>
      <c r="C111" s="50"/>
      <c r="D111" s="50"/>
      <c r="E111" s="50"/>
    </row>
    <row r="112" spans="1:5" x14ac:dyDescent="0.2">
      <c r="A112" s="50"/>
      <c r="B112" s="50"/>
      <c r="C112" s="50"/>
      <c r="D112" s="50"/>
      <c r="E112" s="50"/>
    </row>
    <row r="113" spans="1:5" x14ac:dyDescent="0.2">
      <c r="A113" s="50"/>
      <c r="B113" s="50"/>
      <c r="C113" s="50"/>
      <c r="D113" s="50"/>
      <c r="E113" s="50"/>
    </row>
  </sheetData>
  <mergeCells count="8">
    <mergeCell ref="G6:H6"/>
    <mergeCell ref="K6:L6"/>
    <mergeCell ref="C5:D5"/>
    <mergeCell ref="C6:D6"/>
    <mergeCell ref="A1:M1"/>
    <mergeCell ref="A3:M3"/>
    <mergeCell ref="G5:H5"/>
    <mergeCell ref="K5:L5"/>
  </mergeCells>
  <pageMargins left="0.59055118110236227" right="0.59055118110236227" top="0.59055118110236227" bottom="0.59055118110236227" header="0.31496062992125984" footer="0.31496062992125984"/>
  <pageSetup paperSize="9" scale="72" orientation="portrait" r:id="rId1"/>
  <headerFooter>
    <oddFooter>&amp;C&amp;"Garamond,Regular"&amp;F&amp;R&amp;"Garamond,Regular"3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A10" zoomScale="60" zoomScaleNormal="60" workbookViewId="0">
      <selection activeCell="C27" sqref="C27:C30"/>
    </sheetView>
  </sheetViews>
  <sheetFormatPr defaultRowHeight="12.75" x14ac:dyDescent="0.2"/>
  <cols>
    <col min="1" max="1" width="45.5703125" style="1" bestFit="1" customWidth="1"/>
    <col min="2" max="3" width="16.140625" style="1" bestFit="1" customWidth="1"/>
    <col min="4" max="4" width="3.5703125" style="1" customWidth="1"/>
    <col min="5" max="5" width="14.85546875" style="1" customWidth="1"/>
    <col min="6" max="7" width="5.7109375" style="1" customWidth="1"/>
    <col min="8" max="9" width="14.85546875" style="1" customWidth="1"/>
    <col min="10" max="10" width="3.5703125" style="1" customWidth="1"/>
    <col min="11" max="11" width="8.140625" style="1" bestFit="1" customWidth="1"/>
    <col min="12" max="13" width="3.5703125" style="1" customWidth="1"/>
    <col min="14" max="15" width="14.85546875" style="1" customWidth="1"/>
    <col min="16" max="16" width="3.5703125" style="1" customWidth="1"/>
    <col min="17" max="17" width="8.140625" style="1" bestFit="1" customWidth="1"/>
    <col min="18" max="16384" width="9.140625" style="1"/>
  </cols>
  <sheetData>
    <row r="1" spans="1:17" ht="23.25" x14ac:dyDescent="0.35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21" x14ac:dyDescent="0.35">
      <c r="A2" s="291" t="s">
        <v>97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4" spans="1:17" s="101" customFormat="1" ht="18.75" x14ac:dyDescent="0.3">
      <c r="A4" s="100" t="s">
        <v>464</v>
      </c>
    </row>
    <row r="5" spans="1:17" s="101" customFormat="1" ht="18.75" x14ac:dyDescent="0.3">
      <c r="A5" s="102"/>
    </row>
    <row r="6" spans="1:17" s="101" customFormat="1" ht="18.75" x14ac:dyDescent="0.3">
      <c r="B6" s="287" t="s">
        <v>98</v>
      </c>
      <c r="C6" s="287"/>
      <c r="D6" s="287"/>
      <c r="E6" s="287"/>
      <c r="F6" s="103"/>
      <c r="H6" s="287" t="s">
        <v>99</v>
      </c>
      <c r="I6" s="287"/>
      <c r="J6" s="287"/>
      <c r="K6" s="287"/>
      <c r="L6" s="104"/>
      <c r="N6" s="287" t="s">
        <v>100</v>
      </c>
      <c r="O6" s="287"/>
      <c r="P6" s="287"/>
      <c r="Q6" s="287"/>
    </row>
    <row r="7" spans="1:17" s="101" customFormat="1" ht="18.75" x14ac:dyDescent="0.3">
      <c r="B7" s="105"/>
      <c r="C7" s="105"/>
      <c r="D7" s="105"/>
      <c r="E7" s="106"/>
      <c r="F7" s="103"/>
      <c r="L7" s="104"/>
    </row>
    <row r="8" spans="1:17" s="101" customFormat="1" ht="18.75" x14ac:dyDescent="0.3">
      <c r="A8" s="73" t="s">
        <v>101</v>
      </c>
      <c r="B8" s="98" t="s">
        <v>102</v>
      </c>
      <c r="C8" s="98" t="s">
        <v>103</v>
      </c>
      <c r="D8" s="102"/>
      <c r="E8" s="107" t="s">
        <v>1</v>
      </c>
      <c r="F8" s="108"/>
      <c r="H8" s="98" t="s">
        <v>102</v>
      </c>
      <c r="I8" s="98" t="s">
        <v>103</v>
      </c>
      <c r="J8" s="102"/>
      <c r="K8" s="107" t="s">
        <v>1</v>
      </c>
      <c r="L8" s="104"/>
      <c r="N8" s="98" t="s">
        <v>102</v>
      </c>
      <c r="O8" s="98" t="s">
        <v>103</v>
      </c>
      <c r="P8" s="102"/>
      <c r="Q8" s="107" t="s">
        <v>1</v>
      </c>
    </row>
    <row r="9" spans="1:17" s="101" customFormat="1" ht="18.75" x14ac:dyDescent="0.3">
      <c r="A9" s="101" t="s">
        <v>104</v>
      </c>
      <c r="C9" s="109">
        <v>7455.92</v>
      </c>
      <c r="D9" s="110"/>
      <c r="E9" s="111"/>
      <c r="F9" s="112"/>
      <c r="H9" s="110"/>
      <c r="I9" s="113">
        <v>10878.77</v>
      </c>
      <c r="J9" s="110"/>
      <c r="K9" s="110"/>
      <c r="L9" s="104"/>
      <c r="N9" s="110"/>
      <c r="O9" s="109">
        <v>53922.85</v>
      </c>
      <c r="P9" s="110"/>
      <c r="Q9" s="110"/>
    </row>
    <row r="10" spans="1:17" s="101" customFormat="1" ht="18.75" x14ac:dyDescent="0.3">
      <c r="A10" s="101" t="s">
        <v>105</v>
      </c>
      <c r="B10" s="110"/>
      <c r="C10" s="110">
        <f>+Income!C41</f>
        <v>96110.909999999989</v>
      </c>
      <c r="D10" s="110"/>
      <c r="E10" s="111">
        <v>0</v>
      </c>
      <c r="F10" s="112"/>
      <c r="H10" s="110"/>
      <c r="I10" s="110">
        <f>+'Deposit Ac'!I26</f>
        <v>44.56</v>
      </c>
      <c r="J10" s="110"/>
      <c r="K10" s="110"/>
      <c r="L10" s="104"/>
      <c r="N10" s="110"/>
      <c r="O10" s="110">
        <f>+'Deposit Ac'!H13+'Deposit Ac'!I13</f>
        <v>20135.87</v>
      </c>
      <c r="P10" s="110"/>
      <c r="Q10" s="110"/>
    </row>
    <row r="11" spans="1:17" s="101" customFormat="1" ht="18.75" x14ac:dyDescent="0.3">
      <c r="A11" s="101" t="s">
        <v>106</v>
      </c>
      <c r="B11" s="110">
        <f>+Expenditure!E212</f>
        <v>100172.65000000001</v>
      </c>
      <c r="C11" s="110"/>
      <c r="D11" s="110"/>
      <c r="E11" s="111">
        <v>0</v>
      </c>
      <c r="F11" s="112"/>
      <c r="H11" s="110">
        <f>+'Deposit Ac'!D26+'Deposit Ac'!E26+'Deposit Ac'!F26</f>
        <v>0</v>
      </c>
      <c r="I11" s="110"/>
      <c r="J11" s="110"/>
      <c r="K11" s="110"/>
      <c r="L11" s="114"/>
      <c r="N11" s="110">
        <f>+'Deposit Ac'!E13</f>
        <v>20000</v>
      </c>
      <c r="O11" s="110"/>
      <c r="P11" s="110"/>
      <c r="Q11" s="110"/>
    </row>
    <row r="12" spans="1:17" s="101" customFormat="1" ht="18.75" x14ac:dyDescent="0.3">
      <c r="B12" s="115">
        <f>SUM(B9:B11)</f>
        <v>100172.65000000001</v>
      </c>
      <c r="C12" s="116">
        <f>SUM(C9:C11)</f>
        <v>103566.82999999999</v>
      </c>
      <c r="D12" s="110"/>
      <c r="E12" s="111"/>
      <c r="F12" s="112"/>
      <c r="H12" s="115">
        <f>SUM(H3:H11)</f>
        <v>0</v>
      </c>
      <c r="I12" s="115">
        <f>SUM(I3:I11)</f>
        <v>10923.33</v>
      </c>
      <c r="J12" s="110"/>
      <c r="K12" s="110"/>
      <c r="L12" s="104"/>
      <c r="N12" s="115">
        <f>SUM(N3:N11)</f>
        <v>20000</v>
      </c>
      <c r="O12" s="115">
        <f>SUM(O3:O11)</f>
        <v>74058.720000000001</v>
      </c>
      <c r="P12" s="110"/>
      <c r="Q12" s="110"/>
    </row>
    <row r="13" spans="1:17" s="101" customFormat="1" ht="18.75" x14ac:dyDescent="0.3">
      <c r="A13" s="102" t="s">
        <v>107</v>
      </c>
      <c r="B13" s="113"/>
      <c r="C13" s="117">
        <f>+C12-B12</f>
        <v>3394.1799999999785</v>
      </c>
      <c r="D13" s="110"/>
      <c r="E13" s="115">
        <f>SUM(E10:E12)</f>
        <v>0</v>
      </c>
      <c r="F13" s="112"/>
      <c r="H13" s="110"/>
      <c r="I13" s="117">
        <f>+I12-H12</f>
        <v>10923.33</v>
      </c>
      <c r="J13" s="110"/>
      <c r="K13" s="118">
        <f>SUM(K10:K12)</f>
        <v>0</v>
      </c>
      <c r="L13" s="104"/>
      <c r="N13" s="110"/>
      <c r="O13" s="117">
        <f>+O12-N12</f>
        <v>54058.720000000001</v>
      </c>
      <c r="P13" s="110"/>
      <c r="Q13" s="118">
        <f>SUM(Q10:Q12)</f>
        <v>0</v>
      </c>
    </row>
    <row r="14" spans="1:17" s="101" customFormat="1" ht="18.75" x14ac:dyDescent="0.3">
      <c r="B14" s="110"/>
      <c r="C14" s="113"/>
      <c r="D14" s="110"/>
      <c r="E14" s="111"/>
      <c r="F14" s="112"/>
      <c r="H14" s="110"/>
      <c r="I14" s="110"/>
      <c r="J14" s="110"/>
      <c r="K14" s="110"/>
      <c r="L14" s="104"/>
      <c r="N14" s="110"/>
      <c r="O14" s="110"/>
      <c r="P14" s="110"/>
      <c r="Q14" s="110"/>
    </row>
    <row r="15" spans="1:17" s="101" customFormat="1" ht="18.75" x14ac:dyDescent="0.3">
      <c r="B15" s="110"/>
      <c r="C15" s="110"/>
      <c r="D15" s="110"/>
      <c r="E15" s="111"/>
      <c r="F15" s="112"/>
      <c r="H15" s="110"/>
      <c r="I15" s="110"/>
      <c r="J15" s="110"/>
      <c r="K15" s="110"/>
      <c r="L15" s="104"/>
      <c r="N15" s="110"/>
      <c r="O15" s="110"/>
      <c r="P15" s="110"/>
      <c r="Q15" s="110"/>
    </row>
    <row r="16" spans="1:17" s="101" customFormat="1" ht="18.75" x14ac:dyDescent="0.3">
      <c r="A16" s="73" t="s">
        <v>108</v>
      </c>
      <c r="B16" s="98" t="s">
        <v>102</v>
      </c>
      <c r="C16" s="98" t="s">
        <v>103</v>
      </c>
      <c r="D16" s="110"/>
      <c r="E16" s="111"/>
      <c r="F16" s="112"/>
      <c r="H16" s="98" t="s">
        <v>102</v>
      </c>
      <c r="I16" s="98" t="s">
        <v>103</v>
      </c>
      <c r="J16" s="110"/>
      <c r="K16" s="110"/>
      <c r="L16" s="104"/>
      <c r="N16" s="98" t="s">
        <v>102</v>
      </c>
      <c r="O16" s="98" t="s">
        <v>103</v>
      </c>
      <c r="P16" s="110"/>
      <c r="Q16" s="110"/>
    </row>
    <row r="17" spans="1:17" s="101" customFormat="1" ht="18.75" x14ac:dyDescent="0.3">
      <c r="A17" s="101" t="s">
        <v>459</v>
      </c>
      <c r="B17" s="110"/>
      <c r="C17" s="110">
        <v>3506.18</v>
      </c>
      <c r="D17" s="110"/>
      <c r="E17" s="111"/>
      <c r="F17" s="112"/>
      <c r="H17" s="110"/>
      <c r="I17" s="110">
        <v>10923.33</v>
      </c>
      <c r="J17" s="110"/>
      <c r="K17" s="110"/>
      <c r="L17" s="104"/>
      <c r="N17" s="110"/>
      <c r="O17" s="110">
        <v>54058.720000000001</v>
      </c>
      <c r="P17" s="110"/>
      <c r="Q17" s="110"/>
    </row>
    <row r="18" spans="1:17" s="101" customFormat="1" ht="18.75" x14ac:dyDescent="0.3">
      <c r="A18" s="101" t="s">
        <v>109</v>
      </c>
      <c r="B18" s="110">
        <f>+Expenditure!D221</f>
        <v>112</v>
      </c>
      <c r="C18" s="110"/>
      <c r="D18" s="110"/>
      <c r="E18" s="111"/>
      <c r="F18" s="112"/>
      <c r="H18" s="110">
        <f>D66</f>
        <v>0</v>
      </c>
      <c r="I18" s="110"/>
      <c r="J18" s="110"/>
      <c r="K18" s="110"/>
      <c r="L18" s="104"/>
      <c r="N18" s="110">
        <f>J69</f>
        <v>0</v>
      </c>
      <c r="O18" s="110"/>
      <c r="P18" s="110"/>
      <c r="Q18" s="110"/>
    </row>
    <row r="19" spans="1:17" s="101" customFormat="1" ht="18.75" x14ac:dyDescent="0.3">
      <c r="B19" s="115">
        <f>SUM(B17:B18)</f>
        <v>112</v>
      </c>
      <c r="C19" s="116">
        <f>SUM(C17:C18)</f>
        <v>3506.18</v>
      </c>
      <c r="D19" s="110"/>
      <c r="E19" s="111"/>
      <c r="F19" s="112"/>
      <c r="H19" s="115">
        <f>SUM(H17:H18)</f>
        <v>0</v>
      </c>
      <c r="I19" s="115">
        <f>SUM(I17:I18)</f>
        <v>10923.33</v>
      </c>
      <c r="J19" s="110"/>
      <c r="K19" s="110"/>
      <c r="L19" s="104"/>
      <c r="N19" s="115">
        <f>SUM(N17:N18)</f>
        <v>0</v>
      </c>
      <c r="O19" s="115">
        <f>SUM(O17:O18)</f>
        <v>54058.720000000001</v>
      </c>
      <c r="P19" s="110"/>
      <c r="Q19" s="110"/>
    </row>
    <row r="20" spans="1:17" s="101" customFormat="1" ht="19.5" thickBot="1" x14ac:dyDescent="0.35">
      <c r="A20" s="102" t="s">
        <v>107</v>
      </c>
      <c r="B20" s="113"/>
      <c r="C20" s="119">
        <f>+C19-B19</f>
        <v>3394.18</v>
      </c>
      <c r="D20" s="110"/>
      <c r="E20" s="111"/>
      <c r="F20" s="112"/>
      <c r="H20" s="110"/>
      <c r="I20" s="119">
        <f>I19-H19</f>
        <v>10923.33</v>
      </c>
      <c r="J20" s="110"/>
      <c r="K20" s="110"/>
      <c r="L20" s="104"/>
      <c r="N20" s="110"/>
      <c r="O20" s="119">
        <f>O19-N19</f>
        <v>54058.720000000001</v>
      </c>
      <c r="P20" s="110"/>
      <c r="Q20" s="110"/>
    </row>
    <row r="21" spans="1:17" s="101" customFormat="1" ht="18.75" x14ac:dyDescent="0.3">
      <c r="C21" s="120"/>
      <c r="H21" s="110"/>
      <c r="I21" s="110"/>
    </row>
    <row r="22" spans="1:17" s="101" customFormat="1" ht="18.75" x14ac:dyDescent="0.3">
      <c r="A22" s="121"/>
      <c r="B22" s="122"/>
      <c r="C22" s="122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s="101" customFormat="1" ht="18.75" x14ac:dyDescent="0.3">
      <c r="A23" s="109"/>
    </row>
    <row r="24" spans="1:17" s="101" customFormat="1" ht="18.75" x14ac:dyDescent="0.3">
      <c r="A24" s="109"/>
    </row>
    <row r="25" spans="1:17" s="101" customFormat="1" ht="18.75" x14ac:dyDescent="0.3">
      <c r="A25" s="73" t="s">
        <v>461</v>
      </c>
      <c r="B25" s="102"/>
      <c r="C25" s="102"/>
    </row>
    <row r="26" spans="1:17" s="101" customFormat="1" ht="18.75" x14ac:dyDescent="0.3">
      <c r="A26" s="102"/>
      <c r="B26" s="98" t="s">
        <v>102</v>
      </c>
      <c r="C26" s="98" t="s">
        <v>103</v>
      </c>
      <c r="H26" s="123" t="s">
        <v>110</v>
      </c>
      <c r="O26" s="1"/>
      <c r="P26" s="1"/>
      <c r="Q26" s="1"/>
    </row>
    <row r="27" spans="1:17" s="101" customFormat="1" ht="18.75" x14ac:dyDescent="0.3">
      <c r="A27" s="102" t="s">
        <v>111</v>
      </c>
      <c r="B27" s="109"/>
      <c r="C27" s="124">
        <f>C20</f>
        <v>3394.18</v>
      </c>
      <c r="H27" s="125"/>
      <c r="O27" s="1"/>
      <c r="P27" s="1"/>
      <c r="Q27" s="1"/>
    </row>
    <row r="28" spans="1:17" s="101" customFormat="1" ht="18.75" x14ac:dyDescent="0.3">
      <c r="A28" s="102" t="s">
        <v>112</v>
      </c>
      <c r="B28" s="102"/>
      <c r="C28" s="109">
        <f>+I20</f>
        <v>10923.33</v>
      </c>
      <c r="D28" s="126"/>
      <c r="G28" s="127">
        <v>1</v>
      </c>
      <c r="H28" s="101" t="s">
        <v>462</v>
      </c>
      <c r="O28" s="1"/>
      <c r="P28" s="1"/>
      <c r="Q28" s="1"/>
    </row>
    <row r="29" spans="1:17" s="101" customFormat="1" ht="18.75" x14ac:dyDescent="0.3">
      <c r="A29" s="102" t="s">
        <v>361</v>
      </c>
      <c r="B29" s="102"/>
      <c r="C29" s="109">
        <f>+O20</f>
        <v>54058.720000000001</v>
      </c>
      <c r="D29" s="126"/>
      <c r="F29" s="110"/>
      <c r="H29" s="125"/>
      <c r="O29" s="1"/>
      <c r="P29" s="1"/>
      <c r="Q29" s="1"/>
    </row>
    <row r="30" spans="1:17" s="101" customFormat="1" ht="18.75" x14ac:dyDescent="0.3">
      <c r="A30" s="102" t="s">
        <v>113</v>
      </c>
      <c r="B30" s="102"/>
      <c r="C30" s="109">
        <v>2000</v>
      </c>
      <c r="D30" s="126"/>
      <c r="O30" s="1"/>
      <c r="P30" s="1"/>
      <c r="Q30" s="1"/>
    </row>
    <row r="31" spans="1:17" s="101" customFormat="1" ht="18.75" x14ac:dyDescent="0.3">
      <c r="A31" s="102"/>
      <c r="B31" s="117">
        <f>SUM(B27:B30)</f>
        <v>0</v>
      </c>
      <c r="C31" s="117">
        <f>SUM(C27:C30)</f>
        <v>70376.23</v>
      </c>
      <c r="E31" s="128"/>
      <c r="F31" s="128"/>
      <c r="H31" s="101" t="s">
        <v>114</v>
      </c>
      <c r="O31" s="1"/>
      <c r="P31" s="1"/>
      <c r="Q31" s="1"/>
    </row>
    <row r="32" spans="1:17" s="101" customFormat="1" ht="19.5" thickBot="1" x14ac:dyDescent="0.35">
      <c r="A32" s="102"/>
      <c r="B32" s="102"/>
      <c r="C32" s="129">
        <f>C31-B31</f>
        <v>70376.23</v>
      </c>
      <c r="E32" s="126"/>
      <c r="F32" s="126"/>
      <c r="H32" s="125"/>
      <c r="O32" s="1"/>
      <c r="P32" s="1"/>
      <c r="Q32" s="1"/>
    </row>
    <row r="33" spans="1:17" s="101" customFormat="1" ht="19.5" thickTop="1" x14ac:dyDescent="0.3">
      <c r="E33" s="126"/>
      <c r="F33" s="126"/>
      <c r="G33" s="127">
        <v>2</v>
      </c>
      <c r="H33" s="101" t="s">
        <v>463</v>
      </c>
      <c r="O33" s="1"/>
      <c r="P33" s="1"/>
      <c r="Q33" s="1"/>
    </row>
    <row r="34" spans="1:17" s="101" customFormat="1" ht="18.75" x14ac:dyDescent="0.3">
      <c r="A34" s="102" t="s">
        <v>190</v>
      </c>
      <c r="C34" s="124">
        <v>74257.539999999994</v>
      </c>
      <c r="E34" s="126"/>
      <c r="F34" s="126"/>
      <c r="O34" s="1"/>
      <c r="P34" s="1"/>
      <c r="Q34" s="1"/>
    </row>
    <row r="35" spans="1:17" s="101" customFormat="1" ht="18.75" x14ac:dyDescent="0.3">
      <c r="A35" s="102" t="s">
        <v>115</v>
      </c>
      <c r="C35" s="124">
        <f>+C10+I10+O10-40000</f>
        <v>76291.339999999982</v>
      </c>
      <c r="E35" s="126"/>
      <c r="F35" s="126"/>
      <c r="O35" s="1"/>
      <c r="P35" s="1"/>
      <c r="Q35" s="1"/>
    </row>
    <row r="36" spans="1:17" s="130" customFormat="1" ht="18.75" x14ac:dyDescent="0.3">
      <c r="A36" s="102" t="s">
        <v>116</v>
      </c>
      <c r="B36" s="101"/>
      <c r="C36" s="124">
        <f>+B11+H1-20000</f>
        <v>80172.650000000009</v>
      </c>
      <c r="G36" s="101"/>
      <c r="H36" s="101" t="s">
        <v>114</v>
      </c>
      <c r="I36" s="101"/>
      <c r="J36" s="101"/>
      <c r="O36" s="1"/>
      <c r="P36" s="1"/>
      <c r="Q36" s="1"/>
    </row>
    <row r="37" spans="1:17" ht="19.5" thickBot="1" x14ac:dyDescent="0.35">
      <c r="A37" s="102" t="s">
        <v>460</v>
      </c>
      <c r="B37" s="101"/>
      <c r="C37" s="129">
        <f>+C34+C35-C36</f>
        <v>70376.229999999967</v>
      </c>
    </row>
    <row r="38" spans="1:17" ht="19.5" thickTop="1" x14ac:dyDescent="0.3">
      <c r="A38" s="101"/>
      <c r="B38" s="101"/>
      <c r="C38" s="120"/>
    </row>
    <row r="39" spans="1:17" ht="18.75" x14ac:dyDescent="0.3">
      <c r="A39" s="101"/>
      <c r="B39" s="101"/>
      <c r="C39" s="120"/>
    </row>
    <row r="40" spans="1:17" x14ac:dyDescent="0.2">
      <c r="C40" s="89"/>
    </row>
  </sheetData>
  <mergeCells count="5">
    <mergeCell ref="A1:Q1"/>
    <mergeCell ref="A2:Q2"/>
    <mergeCell ref="B6:E6"/>
    <mergeCell ref="H6:K6"/>
    <mergeCell ref="N6:Q6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13" zoomScale="70" zoomScaleNormal="70" workbookViewId="0">
      <selection activeCell="D41" sqref="D41"/>
    </sheetView>
  </sheetViews>
  <sheetFormatPr defaultRowHeight="12.75" x14ac:dyDescent="0.2"/>
  <cols>
    <col min="1" max="1" width="10.140625" style="1" customWidth="1"/>
    <col min="2" max="2" width="61.28515625" style="1" customWidth="1"/>
    <col min="3" max="3" width="14.85546875" style="1" bestFit="1" customWidth="1"/>
    <col min="4" max="4" width="13.28515625" style="1" bestFit="1" customWidth="1"/>
    <col min="5" max="5" width="14.85546875" style="1" bestFit="1" customWidth="1"/>
    <col min="6" max="6" width="11.5703125" style="1" bestFit="1" customWidth="1"/>
    <col min="7" max="7" width="15.85546875" style="1" bestFit="1" customWidth="1"/>
    <col min="8" max="8" width="10.28515625" style="1" hidden="1" customWidth="1"/>
    <col min="9" max="9" width="14.85546875" style="1" bestFit="1" customWidth="1"/>
    <col min="10" max="16384" width="9.140625" style="1"/>
  </cols>
  <sheetData>
    <row r="1" spans="1:19" ht="21" x14ac:dyDescent="0.3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31"/>
      <c r="N1" s="131"/>
      <c r="O1" s="131"/>
      <c r="P1" s="131"/>
      <c r="Q1" s="131"/>
      <c r="R1" s="131"/>
      <c r="S1" s="131"/>
    </row>
    <row r="2" spans="1:19" ht="21" x14ac:dyDescent="0.3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31"/>
      <c r="N2" s="131"/>
      <c r="O2" s="131"/>
      <c r="P2" s="131"/>
      <c r="Q2" s="131"/>
      <c r="R2" s="131"/>
      <c r="S2" s="131"/>
    </row>
    <row r="3" spans="1:19" ht="21" x14ac:dyDescent="0.35">
      <c r="A3" s="292" t="s">
        <v>117</v>
      </c>
      <c r="B3" s="292"/>
      <c r="C3" s="292"/>
      <c r="D3" s="292"/>
      <c r="E3" s="292"/>
      <c r="F3" s="292"/>
      <c r="G3" s="292"/>
      <c r="H3" s="292"/>
      <c r="I3" s="29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8.75" x14ac:dyDescent="0.3">
      <c r="A4" s="100" t="s">
        <v>464</v>
      </c>
      <c r="B4" s="75"/>
      <c r="C4" s="75"/>
      <c r="D4" s="75"/>
      <c r="E4" s="75"/>
      <c r="F4" s="75"/>
      <c r="G4" s="75"/>
      <c r="H4" s="75"/>
      <c r="I4" s="75"/>
    </row>
    <row r="5" spans="1:19" x14ac:dyDescent="0.2">
      <c r="A5" s="75"/>
      <c r="B5" s="75"/>
      <c r="C5" s="75"/>
      <c r="D5" s="75"/>
      <c r="E5" s="75"/>
      <c r="F5" s="75"/>
      <c r="G5" s="75"/>
      <c r="H5" s="75"/>
      <c r="I5" s="75"/>
    </row>
    <row r="6" spans="1:19" s="130" customFormat="1" ht="18" x14ac:dyDescent="0.4">
      <c r="A6" s="133" t="s">
        <v>118</v>
      </c>
      <c r="B6" s="134" t="s">
        <v>119</v>
      </c>
      <c r="C6" s="135" t="s">
        <v>120</v>
      </c>
      <c r="D6" s="135" t="s">
        <v>1</v>
      </c>
      <c r="E6" s="135" t="s">
        <v>121</v>
      </c>
      <c r="F6" s="136" t="s">
        <v>122</v>
      </c>
      <c r="G6" s="136" t="s">
        <v>123</v>
      </c>
      <c r="H6" s="136" t="s">
        <v>124</v>
      </c>
      <c r="I6" s="136" t="s">
        <v>125</v>
      </c>
    </row>
    <row r="7" spans="1:19" s="130" customFormat="1" ht="15.75" x14ac:dyDescent="0.25">
      <c r="A7" s="137">
        <v>42461</v>
      </c>
      <c r="B7" s="138" t="s">
        <v>193</v>
      </c>
      <c r="C7" s="139">
        <v>2.12</v>
      </c>
      <c r="D7" s="140"/>
      <c r="E7" s="140"/>
      <c r="F7" s="140">
        <v>2.12</v>
      </c>
      <c r="G7" s="140"/>
      <c r="H7" s="140"/>
      <c r="I7" s="141"/>
      <c r="J7" s="142"/>
    </row>
    <row r="8" spans="1:19" s="130" customFormat="1" ht="15.75" x14ac:dyDescent="0.25">
      <c r="A8" s="137">
        <v>42475</v>
      </c>
      <c r="B8" s="138" t="s">
        <v>194</v>
      </c>
      <c r="C8" s="139">
        <v>66762</v>
      </c>
      <c r="D8" s="140"/>
      <c r="E8" s="140"/>
      <c r="F8" s="140"/>
      <c r="G8" s="140"/>
      <c r="H8" s="140"/>
      <c r="I8" s="141">
        <v>66762</v>
      </c>
      <c r="J8" s="142"/>
    </row>
    <row r="9" spans="1:19" s="130" customFormat="1" ht="15.75" x14ac:dyDescent="0.25">
      <c r="A9" s="137">
        <v>42485</v>
      </c>
      <c r="B9" s="138" t="s">
        <v>195</v>
      </c>
      <c r="C9" s="139">
        <v>535.47</v>
      </c>
      <c r="D9" s="140">
        <v>535.47</v>
      </c>
      <c r="E9" s="140"/>
      <c r="G9" s="140"/>
      <c r="H9" s="140"/>
      <c r="I9" s="141"/>
      <c r="J9" s="142"/>
    </row>
    <row r="10" spans="1:19" s="130" customFormat="1" ht="15.75" x14ac:dyDescent="0.25">
      <c r="A10" s="137">
        <v>42485</v>
      </c>
      <c r="B10" s="130" t="s">
        <v>196</v>
      </c>
      <c r="C10" s="139">
        <v>720</v>
      </c>
      <c r="D10" s="140"/>
      <c r="E10" s="140"/>
      <c r="F10" s="140"/>
      <c r="G10" s="140">
        <v>720</v>
      </c>
      <c r="H10" s="140"/>
      <c r="I10" s="141"/>
      <c r="J10" s="142"/>
    </row>
    <row r="11" spans="1:19" s="130" customFormat="1" ht="15.75" x14ac:dyDescent="0.25">
      <c r="A11" s="137">
        <v>42495</v>
      </c>
      <c r="B11" s="138" t="s">
        <v>193</v>
      </c>
      <c r="C11" s="139">
        <v>2.06</v>
      </c>
      <c r="D11" s="140"/>
      <c r="E11" s="140"/>
      <c r="F11" s="140">
        <v>2.06</v>
      </c>
      <c r="G11" s="140"/>
      <c r="H11" s="140"/>
      <c r="I11" s="141"/>
      <c r="J11" s="142"/>
    </row>
    <row r="12" spans="1:19" s="130" customFormat="1" ht="15.75" x14ac:dyDescent="0.25">
      <c r="A12" s="137">
        <v>42495</v>
      </c>
      <c r="B12" s="138" t="s">
        <v>233</v>
      </c>
      <c r="C12" s="139">
        <v>30</v>
      </c>
      <c r="D12" s="140"/>
      <c r="E12" s="140"/>
      <c r="F12" s="140"/>
      <c r="G12" s="140"/>
      <c r="H12" s="140"/>
      <c r="I12" s="141">
        <v>30</v>
      </c>
      <c r="J12" s="142"/>
    </row>
    <row r="13" spans="1:19" s="130" customFormat="1" ht="15.75" x14ac:dyDescent="0.25">
      <c r="A13" s="137">
        <v>42515</v>
      </c>
      <c r="B13" s="138" t="s">
        <v>234</v>
      </c>
      <c r="C13" s="139">
        <v>45.2</v>
      </c>
      <c r="D13" s="140"/>
      <c r="E13" s="140"/>
      <c r="F13" s="140"/>
      <c r="G13" s="140"/>
      <c r="H13" s="140"/>
      <c r="I13" s="141">
        <v>45.2</v>
      </c>
      <c r="J13" s="142"/>
    </row>
    <row r="14" spans="1:19" s="130" customFormat="1" ht="15.75" x14ac:dyDescent="0.25">
      <c r="A14" s="137">
        <v>42527</v>
      </c>
      <c r="B14" s="138" t="s">
        <v>193</v>
      </c>
      <c r="C14" s="139">
        <v>2.12</v>
      </c>
      <c r="D14" s="140"/>
      <c r="E14" s="140"/>
      <c r="F14" s="140">
        <v>2.12</v>
      </c>
      <c r="G14" s="140"/>
      <c r="H14" s="140"/>
      <c r="I14" s="141"/>
      <c r="J14" s="142"/>
    </row>
    <row r="15" spans="1:19" s="130" customFormat="1" ht="15.75" x14ac:dyDescent="0.25">
      <c r="A15" s="148">
        <v>42529</v>
      </c>
      <c r="B15" s="138" t="s">
        <v>264</v>
      </c>
      <c r="C15" s="222">
        <v>400</v>
      </c>
      <c r="I15" s="212">
        <v>400</v>
      </c>
      <c r="J15" s="142"/>
    </row>
    <row r="16" spans="1:19" s="130" customFormat="1" ht="15.75" x14ac:dyDescent="0.25">
      <c r="A16" s="137">
        <v>42556</v>
      </c>
      <c r="B16" s="138" t="s">
        <v>193</v>
      </c>
      <c r="C16" s="139">
        <v>1.66</v>
      </c>
      <c r="D16" s="140"/>
      <c r="E16" s="140"/>
      <c r="F16" s="140">
        <v>1.66</v>
      </c>
      <c r="G16" s="140"/>
      <c r="H16" s="140"/>
      <c r="I16" s="141"/>
      <c r="J16" s="142"/>
    </row>
    <row r="17" spans="1:10" s="130" customFormat="1" ht="15.75" x14ac:dyDescent="0.25">
      <c r="A17" s="137">
        <v>42557</v>
      </c>
      <c r="B17" s="138" t="s">
        <v>195</v>
      </c>
      <c r="C17" s="139">
        <v>2214.02</v>
      </c>
      <c r="D17" s="140">
        <v>2214.02</v>
      </c>
      <c r="E17" s="140"/>
      <c r="F17" s="140"/>
      <c r="G17" s="140"/>
      <c r="H17" s="140"/>
      <c r="I17" s="141"/>
      <c r="J17" s="142"/>
    </row>
    <row r="18" spans="1:10" s="130" customFormat="1" ht="15.75" x14ac:dyDescent="0.25">
      <c r="A18" s="137">
        <v>42569</v>
      </c>
      <c r="B18" s="138" t="s">
        <v>312</v>
      </c>
      <c r="C18" s="139">
        <v>360</v>
      </c>
      <c r="D18" s="140"/>
      <c r="E18" s="140"/>
      <c r="F18" s="140"/>
      <c r="G18" s="140"/>
      <c r="H18" s="140"/>
      <c r="I18" s="141">
        <v>360</v>
      </c>
      <c r="J18" s="142"/>
    </row>
    <row r="19" spans="1:10" s="130" customFormat="1" ht="15.75" x14ac:dyDescent="0.25">
      <c r="A19" s="137">
        <v>42571</v>
      </c>
      <c r="B19" s="130" t="s">
        <v>313</v>
      </c>
      <c r="C19" s="139">
        <v>30</v>
      </c>
      <c r="D19" s="140"/>
      <c r="E19" s="140"/>
      <c r="F19" s="140"/>
      <c r="G19" s="140"/>
      <c r="H19" s="140"/>
      <c r="I19" s="141">
        <v>30</v>
      </c>
      <c r="J19" s="142"/>
    </row>
    <row r="20" spans="1:10" s="130" customFormat="1" ht="15.75" x14ac:dyDescent="0.25">
      <c r="A20" s="148">
        <v>42571</v>
      </c>
      <c r="B20" s="130" t="s">
        <v>314</v>
      </c>
      <c r="C20" s="222">
        <v>40</v>
      </c>
      <c r="I20" s="212">
        <v>40</v>
      </c>
      <c r="J20" s="142"/>
    </row>
    <row r="21" spans="1:10" s="130" customFormat="1" ht="15.75" x14ac:dyDescent="0.25">
      <c r="A21" s="137">
        <v>42584</v>
      </c>
      <c r="B21" s="138" t="s">
        <v>315</v>
      </c>
      <c r="C21" s="225">
        <v>24</v>
      </c>
      <c r="D21" s="223"/>
      <c r="E21" s="223"/>
      <c r="F21" s="223"/>
      <c r="G21" s="223">
        <v>24</v>
      </c>
      <c r="H21" s="223"/>
      <c r="I21" s="224"/>
      <c r="J21" s="142"/>
    </row>
    <row r="22" spans="1:10" s="130" customFormat="1" ht="15.75" x14ac:dyDescent="0.25">
      <c r="A22" s="137">
        <v>42584</v>
      </c>
      <c r="B22" s="138" t="s">
        <v>316</v>
      </c>
      <c r="C22" s="225">
        <v>150</v>
      </c>
      <c r="D22" s="223"/>
      <c r="E22" s="223"/>
      <c r="F22" s="223"/>
      <c r="G22" s="223">
        <v>150</v>
      </c>
      <c r="H22" s="223"/>
      <c r="I22" s="224"/>
      <c r="J22" s="142"/>
    </row>
    <row r="23" spans="1:10" s="130" customFormat="1" ht="15.75" x14ac:dyDescent="0.25">
      <c r="A23" s="137">
        <v>42585</v>
      </c>
      <c r="B23" s="138" t="s">
        <v>315</v>
      </c>
      <c r="C23" s="225">
        <v>24</v>
      </c>
      <c r="D23" s="223"/>
      <c r="E23" s="223"/>
      <c r="F23" s="223"/>
      <c r="G23" s="223">
        <v>24</v>
      </c>
      <c r="H23" s="223"/>
      <c r="I23" s="224"/>
      <c r="J23" s="142"/>
    </row>
    <row r="24" spans="1:10" s="130" customFormat="1" ht="15.75" x14ac:dyDescent="0.25">
      <c r="A24" s="148">
        <v>42587</v>
      </c>
      <c r="B24" s="130" t="s">
        <v>193</v>
      </c>
      <c r="C24" s="222">
        <v>1.7</v>
      </c>
      <c r="D24" s="212"/>
      <c r="E24" s="212"/>
      <c r="F24" s="212">
        <v>1.7</v>
      </c>
      <c r="G24" s="212"/>
      <c r="H24" s="212"/>
      <c r="I24" s="212"/>
      <c r="J24" s="142"/>
    </row>
    <row r="25" spans="1:10" s="130" customFormat="1" ht="15.75" x14ac:dyDescent="0.25">
      <c r="A25" s="148">
        <v>42618</v>
      </c>
      <c r="B25" s="130" t="s">
        <v>193</v>
      </c>
      <c r="C25" s="222">
        <v>1.7</v>
      </c>
      <c r="D25" s="212"/>
      <c r="E25" s="212"/>
      <c r="F25" s="212">
        <v>1.7</v>
      </c>
      <c r="G25" s="212"/>
      <c r="H25" s="212"/>
      <c r="I25" s="212"/>
      <c r="J25" s="142"/>
    </row>
    <row r="26" spans="1:10" s="130" customFormat="1" ht="15.75" x14ac:dyDescent="0.25">
      <c r="A26" s="148">
        <v>42619</v>
      </c>
      <c r="B26" s="138" t="s">
        <v>315</v>
      </c>
      <c r="C26" s="222">
        <v>25</v>
      </c>
      <c r="D26" s="212"/>
      <c r="E26" s="212"/>
      <c r="F26" s="212"/>
      <c r="G26" s="212">
        <v>25</v>
      </c>
      <c r="H26" s="212"/>
      <c r="I26" s="212"/>
      <c r="J26" s="142"/>
    </row>
    <row r="27" spans="1:10" s="130" customFormat="1" ht="15.75" x14ac:dyDescent="0.25">
      <c r="A27" s="137">
        <v>42647</v>
      </c>
      <c r="B27" s="130" t="s">
        <v>193</v>
      </c>
      <c r="C27" s="222">
        <v>1.64</v>
      </c>
      <c r="D27" s="212"/>
      <c r="E27" s="212"/>
      <c r="F27" s="212">
        <v>1.64</v>
      </c>
      <c r="G27" s="212"/>
      <c r="H27" s="212"/>
      <c r="I27" s="212"/>
      <c r="J27" s="142"/>
    </row>
    <row r="28" spans="1:10" s="130" customFormat="1" ht="15.75" x14ac:dyDescent="0.25">
      <c r="A28" s="137">
        <v>42650</v>
      </c>
      <c r="B28" s="138" t="s">
        <v>195</v>
      </c>
      <c r="C28" s="222">
        <v>2488.64</v>
      </c>
      <c r="D28" s="212">
        <v>2488.64</v>
      </c>
      <c r="E28" s="212"/>
      <c r="F28" s="212"/>
      <c r="G28" s="212"/>
      <c r="H28" s="212"/>
      <c r="I28" s="212"/>
      <c r="J28" s="142"/>
    </row>
    <row r="29" spans="1:10" s="130" customFormat="1" ht="15.75" x14ac:dyDescent="0.25">
      <c r="A29" s="137">
        <v>42653</v>
      </c>
      <c r="B29" s="138" t="s">
        <v>364</v>
      </c>
      <c r="C29" s="222">
        <v>67</v>
      </c>
      <c r="D29" s="212"/>
      <c r="E29" s="212"/>
      <c r="F29" s="212"/>
      <c r="G29" s="212">
        <v>67</v>
      </c>
      <c r="H29" s="212"/>
      <c r="I29" s="212"/>
      <c r="J29" s="142"/>
    </row>
    <row r="30" spans="1:10" s="130" customFormat="1" ht="15.75" x14ac:dyDescent="0.25">
      <c r="A30" s="137">
        <v>42675</v>
      </c>
      <c r="B30" s="130" t="s">
        <v>315</v>
      </c>
      <c r="C30" s="222">
        <v>24</v>
      </c>
      <c r="D30" s="212"/>
      <c r="E30" s="212"/>
      <c r="F30" s="212"/>
      <c r="G30" s="212">
        <v>24</v>
      </c>
      <c r="H30" s="212"/>
      <c r="I30" s="212"/>
      <c r="J30" s="142"/>
    </row>
    <row r="31" spans="1:10" s="130" customFormat="1" ht="15.75" x14ac:dyDescent="0.25">
      <c r="A31" s="137">
        <v>42675</v>
      </c>
      <c r="B31" s="138" t="s">
        <v>372</v>
      </c>
      <c r="C31" s="222">
        <v>10000</v>
      </c>
      <c r="D31" s="212"/>
      <c r="E31" s="212">
        <v>10000</v>
      </c>
      <c r="F31" s="212"/>
      <c r="G31" s="212"/>
      <c r="H31" s="212"/>
      <c r="I31" s="212"/>
      <c r="J31" s="142"/>
    </row>
    <row r="32" spans="1:10" s="130" customFormat="1" ht="15.75" x14ac:dyDescent="0.25">
      <c r="A32" s="137">
        <v>42681</v>
      </c>
      <c r="B32" s="138" t="s">
        <v>193</v>
      </c>
      <c r="C32" s="222">
        <v>1.7</v>
      </c>
      <c r="D32" s="212"/>
      <c r="E32" s="212"/>
      <c r="F32" s="212">
        <v>1.7</v>
      </c>
      <c r="G32" s="212"/>
      <c r="H32" s="212"/>
      <c r="I32" s="212"/>
      <c r="J32" s="142"/>
    </row>
    <row r="33" spans="1:10" s="130" customFormat="1" ht="15.75" x14ac:dyDescent="0.25">
      <c r="A33" s="137">
        <v>42681</v>
      </c>
      <c r="B33" s="130" t="s">
        <v>373</v>
      </c>
      <c r="C33" s="222">
        <v>60</v>
      </c>
      <c r="D33" s="212"/>
      <c r="E33" s="212"/>
      <c r="F33" s="212"/>
      <c r="G33" s="212"/>
      <c r="H33" s="212"/>
      <c r="I33" s="212">
        <v>60</v>
      </c>
      <c r="J33" s="142"/>
    </row>
    <row r="34" spans="1:10" s="130" customFormat="1" ht="15.75" x14ac:dyDescent="0.25">
      <c r="A34" s="137">
        <v>42709</v>
      </c>
      <c r="B34" s="130" t="s">
        <v>193</v>
      </c>
      <c r="C34" s="222">
        <v>1.64</v>
      </c>
      <c r="D34" s="212"/>
      <c r="E34" s="212"/>
      <c r="F34" s="212">
        <v>1.64</v>
      </c>
      <c r="G34" s="212"/>
      <c r="H34" s="212"/>
      <c r="I34" s="212"/>
      <c r="J34" s="142"/>
    </row>
    <row r="35" spans="1:10" s="130" customFormat="1" ht="15.75" x14ac:dyDescent="0.25">
      <c r="A35" s="137">
        <v>42712</v>
      </c>
      <c r="B35" s="138" t="s">
        <v>372</v>
      </c>
      <c r="C35" s="283">
        <v>10000</v>
      </c>
      <c r="D35" s="212"/>
      <c r="E35" s="212">
        <v>10000</v>
      </c>
      <c r="F35" s="212"/>
      <c r="G35" s="212"/>
      <c r="H35" s="212"/>
      <c r="I35" s="212"/>
      <c r="J35" s="142"/>
    </row>
    <row r="36" spans="1:10" s="130" customFormat="1" ht="15.75" x14ac:dyDescent="0.25">
      <c r="A36" s="137">
        <v>42740</v>
      </c>
      <c r="B36" s="130" t="s">
        <v>193</v>
      </c>
      <c r="C36" s="225">
        <v>1.7</v>
      </c>
      <c r="D36" s="140"/>
      <c r="E36" s="140"/>
      <c r="F36" s="140">
        <v>1.7</v>
      </c>
      <c r="G36" s="140"/>
      <c r="H36" s="140"/>
      <c r="I36" s="224"/>
      <c r="J36" s="142"/>
    </row>
    <row r="37" spans="1:10" s="130" customFormat="1" ht="15.75" x14ac:dyDescent="0.25">
      <c r="A37" s="137">
        <v>42745</v>
      </c>
      <c r="B37" s="138" t="s">
        <v>195</v>
      </c>
      <c r="C37" s="225">
        <v>2033.21</v>
      </c>
      <c r="D37" s="140">
        <v>2033.21</v>
      </c>
      <c r="E37" s="140"/>
      <c r="F37" s="140"/>
      <c r="G37" s="140"/>
      <c r="H37" s="140"/>
      <c r="I37" s="224"/>
      <c r="J37" s="142"/>
    </row>
    <row r="38" spans="1:10" s="130" customFormat="1" ht="15.75" x14ac:dyDescent="0.25">
      <c r="A38" s="137">
        <v>42753</v>
      </c>
      <c r="B38" s="138" t="s">
        <v>425</v>
      </c>
      <c r="C38" s="225">
        <v>57.1</v>
      </c>
      <c r="D38" s="140"/>
      <c r="E38" s="140"/>
      <c r="F38" s="212"/>
      <c r="G38" s="140"/>
      <c r="H38" s="140"/>
      <c r="I38" s="224">
        <v>57.1</v>
      </c>
      <c r="J38" s="142"/>
    </row>
    <row r="39" spans="1:10" s="130" customFormat="1" ht="15.75" x14ac:dyDescent="0.25">
      <c r="A39" s="137">
        <v>42772</v>
      </c>
      <c r="B39" s="130" t="s">
        <v>193</v>
      </c>
      <c r="C39" s="225">
        <v>1.7</v>
      </c>
      <c r="D39" s="140"/>
      <c r="E39" s="140"/>
      <c r="F39" s="140">
        <v>1.7</v>
      </c>
      <c r="G39" s="140"/>
      <c r="H39" s="140"/>
      <c r="I39" s="224"/>
      <c r="J39" s="142"/>
    </row>
    <row r="40" spans="1:10" s="130" customFormat="1" ht="15.75" x14ac:dyDescent="0.25">
      <c r="A40" s="137">
        <v>42800</v>
      </c>
      <c r="B40" s="130" t="s">
        <v>193</v>
      </c>
      <c r="C40" s="225">
        <v>1.53</v>
      </c>
      <c r="D40" s="140"/>
      <c r="E40" s="140"/>
      <c r="F40" s="140">
        <v>1.53</v>
      </c>
      <c r="G40" s="140"/>
      <c r="H40" s="140"/>
      <c r="I40" s="224"/>
      <c r="J40" s="142"/>
    </row>
    <row r="41" spans="1:10" ht="15.75" x14ac:dyDescent="0.25">
      <c r="A41" s="226"/>
      <c r="C41" s="143">
        <f>SUM(C7:C40)</f>
        <v>96110.909999999989</v>
      </c>
      <c r="D41" s="143">
        <f t="shared" ref="D41:I41" si="0">SUM(D7:D40)</f>
        <v>7271.3399999999992</v>
      </c>
      <c r="E41" s="143">
        <f t="shared" si="0"/>
        <v>20000</v>
      </c>
      <c r="F41" s="143">
        <f t="shared" si="0"/>
        <v>21.27</v>
      </c>
      <c r="G41" s="143">
        <f t="shared" si="0"/>
        <v>1034</v>
      </c>
      <c r="H41" s="143">
        <f t="shared" si="0"/>
        <v>0</v>
      </c>
      <c r="I41" s="143">
        <f t="shared" si="0"/>
        <v>67784.3</v>
      </c>
    </row>
    <row r="43" spans="1:10" x14ac:dyDescent="0.2">
      <c r="C43" s="89"/>
    </row>
    <row r="44" spans="1:10" x14ac:dyDescent="0.2">
      <c r="C44" s="89"/>
    </row>
    <row r="45" spans="1:10" x14ac:dyDescent="0.2">
      <c r="C45" s="89"/>
    </row>
    <row r="46" spans="1:10" x14ac:dyDescent="0.2">
      <c r="C46" s="89"/>
    </row>
    <row r="54" spans="3:3" x14ac:dyDescent="0.2">
      <c r="C54" s="89"/>
    </row>
  </sheetData>
  <mergeCells count="2">
    <mergeCell ref="A1:L1"/>
    <mergeCell ref="A3:I3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1"/>
  <sheetViews>
    <sheetView view="pageBreakPreview" topLeftCell="Q1" zoomScale="50" zoomScaleNormal="70" zoomScaleSheetLayoutView="50" workbookViewId="0">
      <pane ySplit="6" topLeftCell="A197" activePane="bottomLeft" state="frozen"/>
      <selection pane="bottomLeft" activeCell="AL214" sqref="AL214"/>
    </sheetView>
  </sheetViews>
  <sheetFormatPr defaultRowHeight="21" x14ac:dyDescent="0.35"/>
  <cols>
    <col min="1" max="1" width="20.85546875" style="254" customWidth="1"/>
    <col min="2" max="2" width="12.7109375" style="252" bestFit="1" customWidth="1"/>
    <col min="3" max="3" width="69.5703125" style="252" bestFit="1" customWidth="1"/>
    <col min="4" max="4" width="101.5703125" style="252" customWidth="1"/>
    <col min="5" max="5" width="29.5703125" style="252" customWidth="1"/>
    <col min="6" max="6" width="28.140625" style="252" customWidth="1"/>
    <col min="7" max="8" width="17.5703125" style="252" bestFit="1" customWidth="1"/>
    <col min="9" max="9" width="13" style="252" bestFit="1" customWidth="1"/>
    <col min="10" max="10" width="11.28515625" style="252" bestFit="1" customWidth="1"/>
    <col min="11" max="11" width="20.7109375" style="252" bestFit="1" customWidth="1"/>
    <col min="12" max="12" width="13.85546875" style="252" bestFit="1" customWidth="1"/>
    <col min="13" max="13" width="15.85546875" style="252" bestFit="1" customWidth="1"/>
    <col min="14" max="14" width="16.7109375" style="252" customWidth="1"/>
    <col min="15" max="15" width="19.5703125" style="252" bestFit="1" customWidth="1"/>
    <col min="16" max="17" width="15.85546875" style="252" bestFit="1" customWidth="1"/>
    <col min="18" max="18" width="15.85546875" style="252" customWidth="1"/>
    <col min="19" max="19" width="13.85546875" style="252" bestFit="1" customWidth="1"/>
    <col min="20" max="20" width="12.140625" style="252" customWidth="1"/>
    <col min="21" max="21" width="19.85546875" style="252" bestFit="1" customWidth="1"/>
    <col min="22" max="22" width="13" style="252" bestFit="1" customWidth="1"/>
    <col min="23" max="23" width="21.5703125" style="252" bestFit="1" customWidth="1"/>
    <col min="24" max="24" width="17.28515625" style="252" bestFit="1" customWidth="1"/>
    <col min="25" max="25" width="13" style="252" bestFit="1" customWidth="1"/>
    <col min="26" max="26" width="16.7109375" style="252" bestFit="1" customWidth="1"/>
    <col min="27" max="27" width="28.42578125" style="252" bestFit="1" customWidth="1"/>
    <col min="28" max="28" width="14.42578125" style="252" bestFit="1" customWidth="1"/>
    <col min="29" max="29" width="17.28515625" style="252" customWidth="1"/>
    <col min="30" max="30" width="13.28515625" style="252" bestFit="1" customWidth="1"/>
    <col min="31" max="31" width="10.7109375" style="252" customWidth="1"/>
    <col min="32" max="32" width="18.7109375" style="252" customWidth="1"/>
    <col min="33" max="33" width="27" style="252" bestFit="1" customWidth="1"/>
    <col min="34" max="34" width="12.140625" style="252" bestFit="1" customWidth="1"/>
    <col min="35" max="35" width="18.42578125" style="252" customWidth="1"/>
    <col min="36" max="36" width="19.28515625" style="252" bestFit="1" customWidth="1"/>
    <col min="37" max="37" width="9.5703125" style="252" bestFit="1" customWidth="1"/>
    <col min="38" max="38" width="17.5703125" style="252" bestFit="1" customWidth="1"/>
    <col min="39" max="39" width="13.42578125" style="252" bestFit="1" customWidth="1"/>
    <col min="40" max="40" width="11.85546875" style="252" bestFit="1" customWidth="1"/>
    <col min="41" max="16384" width="9.140625" style="252"/>
  </cols>
  <sheetData>
    <row r="1" spans="1:40" x14ac:dyDescent="0.3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</row>
    <row r="2" spans="1:40" x14ac:dyDescent="0.35">
      <c r="A2" s="294" t="s">
        <v>126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40" x14ac:dyDescent="0.35">
      <c r="A3" s="145"/>
      <c r="B3" s="253"/>
      <c r="C3" s="253"/>
    </row>
    <row r="4" spans="1:40" x14ac:dyDescent="0.35">
      <c r="A4" s="145" t="s">
        <v>464</v>
      </c>
    </row>
    <row r="5" spans="1:40" x14ac:dyDescent="0.35">
      <c r="E5" s="255"/>
      <c r="F5" s="255"/>
      <c r="G5" s="255"/>
      <c r="H5" s="256"/>
      <c r="I5" s="256"/>
      <c r="J5" s="256"/>
      <c r="K5" s="256"/>
      <c r="L5" s="257"/>
      <c r="M5" s="257"/>
      <c r="N5" s="257"/>
      <c r="O5" s="257"/>
      <c r="P5" s="257"/>
      <c r="Q5" s="257"/>
      <c r="R5" s="257"/>
    </row>
    <row r="6" spans="1:40" ht="23.25" x14ac:dyDescent="0.5">
      <c r="A6" s="258" t="s">
        <v>118</v>
      </c>
      <c r="B6" s="245" t="s">
        <v>119</v>
      </c>
      <c r="C6" s="131" t="s">
        <v>127</v>
      </c>
      <c r="D6" s="131" t="s">
        <v>128</v>
      </c>
      <c r="E6" s="245" t="s">
        <v>120</v>
      </c>
      <c r="F6" s="245" t="s">
        <v>1</v>
      </c>
      <c r="G6" s="245" t="s">
        <v>129</v>
      </c>
      <c r="H6" s="245" t="s">
        <v>130</v>
      </c>
      <c r="I6" s="245" t="s">
        <v>131</v>
      </c>
      <c r="J6" s="245" t="s">
        <v>132</v>
      </c>
      <c r="K6" s="245" t="s">
        <v>133</v>
      </c>
      <c r="L6" s="259" t="s">
        <v>134</v>
      </c>
      <c r="M6" s="259" t="s">
        <v>135</v>
      </c>
      <c r="N6" s="259" t="s">
        <v>136</v>
      </c>
      <c r="O6" s="259" t="s">
        <v>137</v>
      </c>
      <c r="P6" s="259" t="s">
        <v>138</v>
      </c>
      <c r="Q6" s="259" t="s">
        <v>139</v>
      </c>
      <c r="R6" s="259" t="s">
        <v>140</v>
      </c>
      <c r="S6" s="259" t="s">
        <v>141</v>
      </c>
      <c r="T6" s="259" t="s">
        <v>142</v>
      </c>
      <c r="U6" s="259" t="s">
        <v>143</v>
      </c>
      <c r="V6" s="259" t="s">
        <v>144</v>
      </c>
      <c r="W6" s="259" t="s">
        <v>145</v>
      </c>
      <c r="X6" s="259" t="s">
        <v>146</v>
      </c>
      <c r="Y6" s="259" t="s">
        <v>147</v>
      </c>
      <c r="Z6" s="259" t="s">
        <v>148</v>
      </c>
      <c r="AA6" s="259" t="s">
        <v>149</v>
      </c>
      <c r="AB6" s="259" t="s">
        <v>6</v>
      </c>
      <c r="AC6" s="259" t="s">
        <v>150</v>
      </c>
      <c r="AD6" s="259" t="s">
        <v>151</v>
      </c>
      <c r="AE6" s="259" t="s">
        <v>152</v>
      </c>
      <c r="AF6" s="259" t="s">
        <v>153</v>
      </c>
      <c r="AG6" s="259" t="s">
        <v>154</v>
      </c>
      <c r="AH6" s="259" t="s">
        <v>155</v>
      </c>
      <c r="AI6" s="259" t="s">
        <v>156</v>
      </c>
      <c r="AJ6" s="260" t="s">
        <v>88</v>
      </c>
      <c r="AK6" s="260" t="s">
        <v>125</v>
      </c>
    </row>
    <row r="7" spans="1:40" x14ac:dyDescent="0.35">
      <c r="A7" s="261">
        <v>42461</v>
      </c>
      <c r="B7" s="262">
        <v>1391</v>
      </c>
      <c r="C7" s="252" t="s">
        <v>197</v>
      </c>
      <c r="D7" s="263" t="s">
        <v>198</v>
      </c>
      <c r="E7" s="264">
        <v>5.99</v>
      </c>
      <c r="F7" s="265">
        <v>1</v>
      </c>
      <c r="G7" s="265"/>
      <c r="H7" s="265"/>
      <c r="I7" s="264"/>
      <c r="J7" s="265"/>
      <c r="K7" s="266"/>
      <c r="L7" s="265"/>
      <c r="M7" s="265"/>
      <c r="N7" s="265"/>
      <c r="O7" s="265"/>
      <c r="P7" s="265">
        <v>4.99</v>
      </c>
      <c r="Q7" s="265"/>
      <c r="R7" s="264"/>
      <c r="S7" s="264"/>
      <c r="T7" s="264"/>
      <c r="U7" s="266">
        <f>+L7+M7+O7+P7+Q7+S7+T7</f>
        <v>4.99</v>
      </c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>
        <f>SUM(G7:AK7)+F7-E7-U7-K7</f>
        <v>0</v>
      </c>
      <c r="AM7" s="255"/>
      <c r="AN7" s="255"/>
    </row>
    <row r="8" spans="1:40" x14ac:dyDescent="0.35">
      <c r="A8" s="261">
        <v>42461</v>
      </c>
      <c r="B8" s="262" t="s">
        <v>157</v>
      </c>
      <c r="C8" s="252" t="str">
        <f>[2]Expenditure!C9</f>
        <v>OPAL (Talk Talk Business)</v>
      </c>
      <c r="D8" s="263" t="str">
        <f>[2]Expenditure!D9</f>
        <v>01606 854451, phoneline and internet</v>
      </c>
      <c r="E8" s="264">
        <v>42.18</v>
      </c>
      <c r="F8" s="264">
        <v>7.03</v>
      </c>
      <c r="G8" s="265"/>
      <c r="H8" s="265"/>
      <c r="I8" s="264"/>
      <c r="J8" s="265"/>
      <c r="K8" s="266"/>
      <c r="L8" s="265"/>
      <c r="M8" s="265"/>
      <c r="N8" s="265"/>
      <c r="O8" s="265"/>
      <c r="P8" s="265">
        <v>35.15</v>
      </c>
      <c r="Q8" s="265"/>
      <c r="R8" s="264"/>
      <c r="S8" s="264"/>
      <c r="T8" s="264"/>
      <c r="U8" s="266">
        <f t="shared" ref="U8:U71" si="0">+L8+M8+O8+P8+Q8+S8+T8</f>
        <v>35.15</v>
      </c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>
        <f t="shared" ref="AL8:AL71" si="1">SUM(G8:AK8)+F8-E8-U8-K8</f>
        <v>0</v>
      </c>
      <c r="AM8" s="255"/>
      <c r="AN8" s="255"/>
    </row>
    <row r="9" spans="1:40" x14ac:dyDescent="0.35">
      <c r="A9" s="261">
        <v>42467</v>
      </c>
      <c r="B9" s="262" t="s">
        <v>157</v>
      </c>
      <c r="C9" s="252" t="s">
        <v>199</v>
      </c>
      <c r="D9" s="263" t="s">
        <v>200</v>
      </c>
      <c r="E9" s="264">
        <v>8</v>
      </c>
      <c r="F9" s="264"/>
      <c r="G9" s="265"/>
      <c r="H9" s="265"/>
      <c r="I9" s="265"/>
      <c r="J9" s="265"/>
      <c r="K9" s="266"/>
      <c r="L9" s="265">
        <v>8</v>
      </c>
      <c r="M9" s="265"/>
      <c r="N9" s="265"/>
      <c r="O9" s="265"/>
      <c r="P9" s="265"/>
      <c r="Q9" s="265"/>
      <c r="R9" s="264"/>
      <c r="S9" s="264"/>
      <c r="T9" s="264"/>
      <c r="U9" s="266">
        <f t="shared" si="0"/>
        <v>8</v>
      </c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>
        <f t="shared" si="1"/>
        <v>0</v>
      </c>
      <c r="AM9" s="255"/>
      <c r="AN9" s="255"/>
    </row>
    <row r="10" spans="1:40" x14ac:dyDescent="0.35">
      <c r="A10" s="261">
        <v>42474</v>
      </c>
      <c r="B10" s="262" t="s">
        <v>157</v>
      </c>
      <c r="C10" s="252" t="str">
        <f>[2]Expenditure!C13</f>
        <v>BT Group plc</v>
      </c>
      <c r="D10" s="263" t="str">
        <f>[2]Expenditure!D13</f>
        <v>Premium E-mail service</v>
      </c>
      <c r="E10" s="264">
        <v>1.6</v>
      </c>
      <c r="F10" s="264">
        <v>0.26</v>
      </c>
      <c r="G10" s="264"/>
      <c r="H10" s="264"/>
      <c r="I10" s="264"/>
      <c r="J10" s="264"/>
      <c r="K10" s="266"/>
      <c r="L10" s="264"/>
      <c r="M10" s="264"/>
      <c r="N10" s="264"/>
      <c r="O10" s="264"/>
      <c r="P10" s="265">
        <v>1.34</v>
      </c>
      <c r="Q10" s="265"/>
      <c r="R10" s="264"/>
      <c r="S10" s="264"/>
      <c r="T10" s="264"/>
      <c r="U10" s="266">
        <f t="shared" si="0"/>
        <v>1.34</v>
      </c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>
        <f t="shared" si="1"/>
        <v>2.2204460492503131E-16</v>
      </c>
      <c r="AM10" s="255"/>
      <c r="AN10" s="255"/>
    </row>
    <row r="11" spans="1:40" x14ac:dyDescent="0.35">
      <c r="A11" s="261">
        <v>42478</v>
      </c>
      <c r="B11" s="262">
        <v>1392</v>
      </c>
      <c r="C11" s="252" t="s">
        <v>201</v>
      </c>
      <c r="D11" s="263" t="s">
        <v>202</v>
      </c>
      <c r="E11" s="264">
        <v>68.39</v>
      </c>
      <c r="F11" s="264">
        <v>11.4</v>
      </c>
      <c r="G11" s="264"/>
      <c r="H11" s="264"/>
      <c r="I11" s="264"/>
      <c r="J11" s="264"/>
      <c r="K11" s="266"/>
      <c r="L11" s="264"/>
      <c r="M11" s="264"/>
      <c r="N11" s="264"/>
      <c r="O11" s="264"/>
      <c r="P11" s="265"/>
      <c r="Q11" s="265"/>
      <c r="R11" s="264"/>
      <c r="S11" s="264"/>
      <c r="T11" s="264"/>
      <c r="U11" s="266">
        <f t="shared" si="0"/>
        <v>0</v>
      </c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>
        <v>56.99</v>
      </c>
      <c r="AK11" s="264"/>
      <c r="AL11" s="264">
        <f t="shared" si="1"/>
        <v>0</v>
      </c>
      <c r="AM11" s="255"/>
      <c r="AN11" s="255"/>
    </row>
    <row r="12" spans="1:40" x14ac:dyDescent="0.35">
      <c r="A12" s="261">
        <v>42478</v>
      </c>
      <c r="B12" s="262">
        <v>1383</v>
      </c>
      <c r="C12" s="252" t="s">
        <v>167</v>
      </c>
      <c r="D12" s="263" t="s">
        <v>203</v>
      </c>
      <c r="E12" s="264">
        <v>48</v>
      </c>
      <c r="F12" s="264"/>
      <c r="G12" s="264"/>
      <c r="H12" s="264"/>
      <c r="I12" s="264"/>
      <c r="J12" s="264"/>
      <c r="K12" s="266">
        <f>+H12+I12+J12</f>
        <v>0</v>
      </c>
      <c r="L12" s="264"/>
      <c r="M12" s="264">
        <v>48</v>
      </c>
      <c r="N12" s="264"/>
      <c r="O12" s="264"/>
      <c r="P12" s="265"/>
      <c r="Q12" s="265"/>
      <c r="R12" s="264"/>
      <c r="S12" s="264"/>
      <c r="T12" s="264"/>
      <c r="U12" s="266">
        <f t="shared" si="0"/>
        <v>48</v>
      </c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>
        <f t="shared" si="1"/>
        <v>0</v>
      </c>
      <c r="AM12" s="255"/>
      <c r="AN12" s="255"/>
    </row>
    <row r="13" spans="1:40" x14ac:dyDescent="0.35">
      <c r="A13" s="261">
        <v>42478</v>
      </c>
      <c r="B13" s="262">
        <v>1394</v>
      </c>
      <c r="C13" s="252" t="s">
        <v>204</v>
      </c>
      <c r="D13" s="263" t="s">
        <v>205</v>
      </c>
      <c r="E13" s="264">
        <v>192</v>
      </c>
      <c r="F13" s="264">
        <v>32</v>
      </c>
      <c r="G13" s="264"/>
      <c r="H13" s="264"/>
      <c r="I13" s="264"/>
      <c r="J13" s="264"/>
      <c r="K13" s="266"/>
      <c r="L13" s="264"/>
      <c r="M13" s="264"/>
      <c r="N13" s="264"/>
      <c r="O13" s="264"/>
      <c r="P13" s="264"/>
      <c r="Q13" s="264"/>
      <c r="R13" s="264"/>
      <c r="S13" s="264"/>
      <c r="T13" s="264"/>
      <c r="U13" s="266">
        <f t="shared" si="0"/>
        <v>0</v>
      </c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>
        <v>160</v>
      </c>
      <c r="AK13" s="264"/>
      <c r="AL13" s="264">
        <f t="shared" si="1"/>
        <v>0</v>
      </c>
      <c r="AM13" s="255"/>
      <c r="AN13" s="255"/>
    </row>
    <row r="14" spans="1:40" x14ac:dyDescent="0.35">
      <c r="A14" s="261">
        <v>42478</v>
      </c>
      <c r="B14" s="262">
        <v>1394</v>
      </c>
      <c r="C14" s="252" t="s">
        <v>204</v>
      </c>
      <c r="D14" s="263" t="s">
        <v>206</v>
      </c>
      <c r="E14" s="264">
        <v>63.6</v>
      </c>
      <c r="F14" s="264">
        <v>10.6</v>
      </c>
      <c r="G14" s="264"/>
      <c r="H14" s="264"/>
      <c r="I14" s="264"/>
      <c r="J14" s="264"/>
      <c r="K14" s="266"/>
      <c r="L14" s="264"/>
      <c r="M14" s="264"/>
      <c r="N14" s="264"/>
      <c r="O14" s="264"/>
      <c r="P14" s="264"/>
      <c r="Q14" s="264"/>
      <c r="R14" s="264"/>
      <c r="S14" s="264"/>
      <c r="T14" s="264"/>
      <c r="U14" s="266">
        <f t="shared" si="0"/>
        <v>0</v>
      </c>
      <c r="V14" s="264"/>
      <c r="W14" s="264"/>
      <c r="X14" s="264"/>
      <c r="Y14" s="264"/>
      <c r="Z14" s="264"/>
      <c r="AA14" s="264">
        <v>53</v>
      </c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>
        <f t="shared" si="1"/>
        <v>0</v>
      </c>
      <c r="AM14" s="255"/>
      <c r="AN14" s="255"/>
    </row>
    <row r="15" spans="1:40" x14ac:dyDescent="0.35">
      <c r="A15" s="261">
        <v>42478</v>
      </c>
      <c r="B15" s="262">
        <v>1394</v>
      </c>
      <c r="C15" s="252" t="s">
        <v>204</v>
      </c>
      <c r="D15" s="263" t="s">
        <v>207</v>
      </c>
      <c r="E15" s="267">
        <v>360</v>
      </c>
      <c r="F15" s="264">
        <v>60</v>
      </c>
      <c r="G15" s="265"/>
      <c r="H15" s="265"/>
      <c r="I15" s="264"/>
      <c r="J15" s="265"/>
      <c r="K15" s="266"/>
      <c r="L15" s="265"/>
      <c r="M15" s="265"/>
      <c r="N15" s="265"/>
      <c r="O15" s="265"/>
      <c r="P15" s="265"/>
      <c r="Q15" s="265"/>
      <c r="R15" s="264"/>
      <c r="S15" s="264"/>
      <c r="T15" s="264"/>
      <c r="U15" s="266">
        <f t="shared" si="0"/>
        <v>0</v>
      </c>
      <c r="V15" s="264"/>
      <c r="W15" s="264"/>
      <c r="X15" s="264"/>
      <c r="Y15" s="264"/>
      <c r="Z15" s="264"/>
      <c r="AA15" s="264"/>
      <c r="AB15" s="264">
        <v>300</v>
      </c>
      <c r="AC15" s="264"/>
      <c r="AD15" s="264"/>
      <c r="AE15" s="264"/>
      <c r="AF15" s="264"/>
      <c r="AG15" s="264"/>
      <c r="AH15" s="264"/>
      <c r="AI15" s="264"/>
      <c r="AJ15" s="264"/>
      <c r="AK15" s="264"/>
      <c r="AL15" s="264">
        <f t="shared" si="1"/>
        <v>0</v>
      </c>
      <c r="AM15" s="255"/>
      <c r="AN15" s="255"/>
    </row>
    <row r="16" spans="1:40" x14ac:dyDescent="0.35">
      <c r="A16" s="261">
        <v>42478</v>
      </c>
      <c r="B16" s="262">
        <v>1395</v>
      </c>
      <c r="C16" s="252" t="s">
        <v>208</v>
      </c>
      <c r="D16" s="263" t="s">
        <v>209</v>
      </c>
      <c r="E16" s="267">
        <v>150</v>
      </c>
      <c r="F16" s="264"/>
      <c r="G16" s="265"/>
      <c r="H16" s="265"/>
      <c r="I16" s="264"/>
      <c r="J16" s="265"/>
      <c r="K16" s="266"/>
      <c r="L16" s="265"/>
      <c r="M16" s="265"/>
      <c r="N16" s="265"/>
      <c r="O16" s="265"/>
      <c r="P16" s="265"/>
      <c r="Q16" s="265"/>
      <c r="R16" s="264"/>
      <c r="S16" s="264"/>
      <c r="T16" s="264"/>
      <c r="U16" s="266">
        <f t="shared" si="0"/>
        <v>0</v>
      </c>
      <c r="V16" s="264"/>
      <c r="W16" s="264"/>
      <c r="X16" s="264">
        <v>150</v>
      </c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>
        <f t="shared" si="1"/>
        <v>0</v>
      </c>
      <c r="AM16" s="255"/>
      <c r="AN16" s="255"/>
    </row>
    <row r="17" spans="1:40" x14ac:dyDescent="0.35">
      <c r="A17" s="261">
        <v>42478</v>
      </c>
      <c r="B17" s="262">
        <v>1396</v>
      </c>
      <c r="C17" s="263" t="s">
        <v>210</v>
      </c>
      <c r="D17" s="263" t="s">
        <v>209</v>
      </c>
      <c r="E17" s="267">
        <v>150</v>
      </c>
      <c r="F17" s="264"/>
      <c r="G17" s="265"/>
      <c r="H17" s="265"/>
      <c r="I17" s="265"/>
      <c r="J17" s="265"/>
      <c r="K17" s="266"/>
      <c r="L17" s="265"/>
      <c r="M17" s="265"/>
      <c r="N17" s="265"/>
      <c r="O17" s="265"/>
      <c r="P17" s="265"/>
      <c r="Q17" s="265"/>
      <c r="R17" s="264"/>
      <c r="S17" s="264"/>
      <c r="T17" s="264"/>
      <c r="U17" s="266">
        <f t="shared" si="0"/>
        <v>0</v>
      </c>
      <c r="V17" s="264"/>
      <c r="W17" s="264"/>
      <c r="X17" s="264">
        <v>150</v>
      </c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>
        <f t="shared" si="1"/>
        <v>0</v>
      </c>
      <c r="AM17" s="255"/>
      <c r="AN17" s="255"/>
    </row>
    <row r="18" spans="1:40" x14ac:dyDescent="0.35">
      <c r="A18" s="261">
        <v>42478</v>
      </c>
      <c r="B18" s="262">
        <v>1397</v>
      </c>
      <c r="C18" s="263" t="s">
        <v>211</v>
      </c>
      <c r="D18" s="263" t="s">
        <v>209</v>
      </c>
      <c r="E18" s="267">
        <v>150</v>
      </c>
      <c r="F18" s="264"/>
      <c r="G18" s="264"/>
      <c r="H18" s="264"/>
      <c r="I18" s="264"/>
      <c r="J18" s="264"/>
      <c r="K18" s="266"/>
      <c r="L18" s="264"/>
      <c r="M18" s="264"/>
      <c r="N18" s="264"/>
      <c r="O18" s="264"/>
      <c r="P18" s="265"/>
      <c r="Q18" s="265"/>
      <c r="R18" s="264"/>
      <c r="S18" s="264"/>
      <c r="T18" s="264"/>
      <c r="U18" s="266">
        <f t="shared" si="0"/>
        <v>0</v>
      </c>
      <c r="V18" s="264"/>
      <c r="W18" s="264"/>
      <c r="X18" s="264">
        <v>150</v>
      </c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>
        <f t="shared" si="1"/>
        <v>0</v>
      </c>
      <c r="AM18" s="255"/>
      <c r="AN18" s="255"/>
    </row>
    <row r="19" spans="1:40" x14ac:dyDescent="0.35">
      <c r="A19" s="261">
        <v>42478</v>
      </c>
      <c r="B19" s="262">
        <v>1398</v>
      </c>
      <c r="C19" s="263" t="s">
        <v>212</v>
      </c>
      <c r="D19" s="263" t="s">
        <v>209</v>
      </c>
      <c r="E19" s="267">
        <v>150</v>
      </c>
      <c r="F19" s="264"/>
      <c r="G19" s="264"/>
      <c r="H19" s="264"/>
      <c r="I19" s="264"/>
      <c r="J19" s="264"/>
      <c r="K19" s="266"/>
      <c r="L19" s="264"/>
      <c r="M19" s="264"/>
      <c r="N19" s="264"/>
      <c r="O19" s="264"/>
      <c r="P19" s="265"/>
      <c r="Q19" s="265"/>
      <c r="R19" s="264"/>
      <c r="S19" s="264"/>
      <c r="T19" s="264"/>
      <c r="U19" s="266">
        <f t="shared" si="0"/>
        <v>0</v>
      </c>
      <c r="V19" s="264"/>
      <c r="W19" s="264"/>
      <c r="X19" s="264">
        <v>150</v>
      </c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>
        <f t="shared" si="1"/>
        <v>0</v>
      </c>
      <c r="AM19" s="255"/>
      <c r="AN19" s="255"/>
    </row>
    <row r="20" spans="1:40" x14ac:dyDescent="0.35">
      <c r="A20" s="261">
        <v>42478</v>
      </c>
      <c r="B20" s="262">
        <v>1399</v>
      </c>
      <c r="C20" s="263" t="s">
        <v>167</v>
      </c>
      <c r="D20" s="263" t="s">
        <v>209</v>
      </c>
      <c r="E20" s="267">
        <v>150</v>
      </c>
      <c r="F20" s="264"/>
      <c r="G20" s="264"/>
      <c r="H20" s="264"/>
      <c r="I20" s="264"/>
      <c r="J20" s="264"/>
      <c r="K20" s="266">
        <f>+H20+I20+J20</f>
        <v>0</v>
      </c>
      <c r="L20" s="264"/>
      <c r="M20" s="264"/>
      <c r="N20" s="264"/>
      <c r="O20" s="264"/>
      <c r="P20" s="265"/>
      <c r="Q20" s="265"/>
      <c r="R20" s="264"/>
      <c r="S20" s="264"/>
      <c r="T20" s="264"/>
      <c r="U20" s="266">
        <f t="shared" si="0"/>
        <v>0</v>
      </c>
      <c r="V20" s="264"/>
      <c r="W20" s="264"/>
      <c r="X20" s="264">
        <v>150</v>
      </c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>
        <f t="shared" si="1"/>
        <v>0</v>
      </c>
      <c r="AM20" s="255"/>
      <c r="AN20" s="255"/>
    </row>
    <row r="21" spans="1:40" x14ac:dyDescent="0.35">
      <c r="A21" s="261">
        <v>42478</v>
      </c>
      <c r="B21" s="262">
        <v>1400</v>
      </c>
      <c r="C21" s="263" t="s">
        <v>213</v>
      </c>
      <c r="D21" s="263" t="s">
        <v>209</v>
      </c>
      <c r="E21" s="267">
        <v>150</v>
      </c>
      <c r="F21" s="264"/>
      <c r="G21" s="264"/>
      <c r="H21" s="264"/>
      <c r="I21" s="264"/>
      <c r="J21" s="264"/>
      <c r="K21" s="266"/>
      <c r="L21" s="264"/>
      <c r="M21" s="264"/>
      <c r="N21" s="264"/>
      <c r="O21" s="264"/>
      <c r="P21" s="265"/>
      <c r="Q21" s="265"/>
      <c r="R21" s="264"/>
      <c r="S21" s="264"/>
      <c r="T21" s="264"/>
      <c r="U21" s="266">
        <f t="shared" si="0"/>
        <v>0</v>
      </c>
      <c r="V21" s="264"/>
      <c r="W21" s="264"/>
      <c r="X21" s="264">
        <v>150</v>
      </c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>
        <f t="shared" si="1"/>
        <v>0</v>
      </c>
      <c r="AM21" s="255"/>
      <c r="AN21" s="255"/>
    </row>
    <row r="22" spans="1:40" x14ac:dyDescent="0.35">
      <c r="A22" s="261">
        <v>42478</v>
      </c>
      <c r="B22" s="262">
        <v>1401</v>
      </c>
      <c r="C22" s="263" t="s">
        <v>214</v>
      </c>
      <c r="D22" s="263" t="s">
        <v>209</v>
      </c>
      <c r="E22" s="264">
        <v>150</v>
      </c>
      <c r="F22" s="264"/>
      <c r="G22" s="264"/>
      <c r="H22" s="264"/>
      <c r="I22" s="264"/>
      <c r="J22" s="264"/>
      <c r="K22" s="266"/>
      <c r="L22" s="264"/>
      <c r="M22" s="264"/>
      <c r="N22" s="264"/>
      <c r="O22" s="264"/>
      <c r="P22" s="265"/>
      <c r="Q22" s="265"/>
      <c r="R22" s="264"/>
      <c r="S22" s="264"/>
      <c r="T22" s="264"/>
      <c r="U22" s="266">
        <f t="shared" si="0"/>
        <v>0</v>
      </c>
      <c r="V22" s="264"/>
      <c r="W22" s="264"/>
      <c r="X22" s="264">
        <v>150</v>
      </c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>
        <f t="shared" si="1"/>
        <v>0</v>
      </c>
      <c r="AM22" s="255"/>
      <c r="AN22" s="255"/>
    </row>
    <row r="23" spans="1:40" x14ac:dyDescent="0.35">
      <c r="A23" s="261">
        <v>42478</v>
      </c>
      <c r="B23" s="262">
        <v>1402</v>
      </c>
      <c r="C23" s="263" t="s">
        <v>215</v>
      </c>
      <c r="D23" s="263" t="s">
        <v>209</v>
      </c>
      <c r="E23" s="264">
        <v>150</v>
      </c>
      <c r="F23" s="264"/>
      <c r="G23" s="264"/>
      <c r="H23" s="264"/>
      <c r="I23" s="264"/>
      <c r="J23" s="264"/>
      <c r="K23" s="266"/>
      <c r="L23" s="264"/>
      <c r="M23" s="264"/>
      <c r="N23" s="264"/>
      <c r="O23" s="264"/>
      <c r="P23" s="265"/>
      <c r="Q23" s="265"/>
      <c r="R23" s="264"/>
      <c r="S23" s="264"/>
      <c r="T23" s="264"/>
      <c r="U23" s="266">
        <f t="shared" si="0"/>
        <v>0</v>
      </c>
      <c r="V23" s="264"/>
      <c r="W23" s="264"/>
      <c r="X23" s="264">
        <v>150</v>
      </c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>
        <f t="shared" si="1"/>
        <v>0</v>
      </c>
      <c r="AM23" s="255"/>
      <c r="AN23" s="255"/>
    </row>
    <row r="24" spans="1:40" x14ac:dyDescent="0.35">
      <c r="A24" s="261">
        <v>42478</v>
      </c>
      <c r="B24" s="262">
        <v>1403</v>
      </c>
      <c r="C24" s="252" t="s">
        <v>216</v>
      </c>
      <c r="D24" s="263" t="s">
        <v>209</v>
      </c>
      <c r="E24" s="264">
        <v>150</v>
      </c>
      <c r="F24" s="264"/>
      <c r="G24" s="264"/>
      <c r="H24" s="264"/>
      <c r="I24" s="264"/>
      <c r="J24" s="264"/>
      <c r="K24" s="266"/>
      <c r="L24" s="264"/>
      <c r="M24" s="264"/>
      <c r="N24" s="264"/>
      <c r="O24" s="264"/>
      <c r="P24" s="265"/>
      <c r="Q24" s="265"/>
      <c r="R24" s="264"/>
      <c r="S24" s="264"/>
      <c r="T24" s="264"/>
      <c r="U24" s="266">
        <f t="shared" si="0"/>
        <v>0</v>
      </c>
      <c r="V24" s="264"/>
      <c r="W24" s="264"/>
      <c r="X24" s="264">
        <v>150</v>
      </c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>
        <f t="shared" si="1"/>
        <v>0</v>
      </c>
      <c r="AM24" s="255"/>
      <c r="AN24" s="255"/>
    </row>
    <row r="25" spans="1:40" x14ac:dyDescent="0.35">
      <c r="A25" s="261">
        <v>42478</v>
      </c>
      <c r="B25" s="262">
        <v>1404</v>
      </c>
      <c r="C25" s="263" t="s">
        <v>217</v>
      </c>
      <c r="D25" s="263" t="s">
        <v>209</v>
      </c>
      <c r="E25" s="264">
        <v>150</v>
      </c>
      <c r="F25" s="264"/>
      <c r="G25" s="264"/>
      <c r="H25" s="264"/>
      <c r="I25" s="264"/>
      <c r="J25" s="264"/>
      <c r="K25" s="266"/>
      <c r="L25" s="264"/>
      <c r="M25" s="264"/>
      <c r="N25" s="264"/>
      <c r="O25" s="264"/>
      <c r="P25" s="265"/>
      <c r="Q25" s="265"/>
      <c r="R25" s="264"/>
      <c r="S25" s="264"/>
      <c r="T25" s="264"/>
      <c r="U25" s="266">
        <f t="shared" si="0"/>
        <v>0</v>
      </c>
      <c r="V25" s="264"/>
      <c r="W25" s="264"/>
      <c r="X25" s="264">
        <v>150</v>
      </c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>
        <f t="shared" si="1"/>
        <v>0</v>
      </c>
      <c r="AM25" s="255"/>
      <c r="AN25" s="255"/>
    </row>
    <row r="26" spans="1:40" x14ac:dyDescent="0.35">
      <c r="A26" s="261">
        <v>42478</v>
      </c>
      <c r="B26" s="262">
        <v>1405</v>
      </c>
      <c r="C26" s="252" t="s">
        <v>218</v>
      </c>
      <c r="D26" s="263" t="s">
        <v>209</v>
      </c>
      <c r="E26" s="264">
        <v>150</v>
      </c>
      <c r="F26" s="264"/>
      <c r="G26" s="264"/>
      <c r="H26" s="264"/>
      <c r="I26" s="264"/>
      <c r="J26" s="264"/>
      <c r="K26" s="266"/>
      <c r="L26" s="264"/>
      <c r="M26" s="264"/>
      <c r="N26" s="264"/>
      <c r="O26" s="264"/>
      <c r="P26" s="265"/>
      <c r="Q26" s="265"/>
      <c r="R26" s="264"/>
      <c r="S26" s="264"/>
      <c r="T26" s="264"/>
      <c r="U26" s="266">
        <f t="shared" si="0"/>
        <v>0</v>
      </c>
      <c r="V26" s="264"/>
      <c r="W26" s="264"/>
      <c r="X26" s="264">
        <v>150</v>
      </c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>
        <f t="shared" si="1"/>
        <v>0</v>
      </c>
      <c r="AM26" s="255"/>
      <c r="AN26" s="255"/>
    </row>
    <row r="27" spans="1:40" x14ac:dyDescent="0.35">
      <c r="A27" s="261">
        <v>42478</v>
      </c>
      <c r="B27" s="262">
        <v>1406</v>
      </c>
      <c r="C27" s="252" t="s">
        <v>219</v>
      </c>
      <c r="D27" s="263" t="s">
        <v>220</v>
      </c>
      <c r="E27" s="264">
        <v>94.78</v>
      </c>
      <c r="F27" s="264">
        <v>6.8</v>
      </c>
      <c r="G27" s="264"/>
      <c r="H27" s="264"/>
      <c r="I27" s="264"/>
      <c r="J27" s="264"/>
      <c r="K27" s="266"/>
      <c r="L27" s="264"/>
      <c r="M27" s="264"/>
      <c r="N27" s="264"/>
      <c r="O27" s="264"/>
      <c r="P27" s="265"/>
      <c r="Q27" s="265">
        <v>33.979999999999997</v>
      </c>
      <c r="R27" s="264"/>
      <c r="S27" s="264">
        <v>54</v>
      </c>
      <c r="T27" s="264"/>
      <c r="U27" s="266">
        <f t="shared" si="0"/>
        <v>87.97999999999999</v>
      </c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>
        <f t="shared" si="1"/>
        <v>0</v>
      </c>
      <c r="AM27" s="255"/>
      <c r="AN27" s="255"/>
    </row>
    <row r="28" spans="1:40" x14ac:dyDescent="0.35">
      <c r="A28" s="261">
        <v>42481</v>
      </c>
      <c r="B28" s="262" t="s">
        <v>157</v>
      </c>
      <c r="C28" s="252" t="s">
        <v>158</v>
      </c>
      <c r="D28" s="263" t="s">
        <v>200</v>
      </c>
      <c r="E28" s="264">
        <v>36</v>
      </c>
      <c r="F28" s="268"/>
      <c r="G28" s="264"/>
      <c r="H28" s="264"/>
      <c r="I28" s="264"/>
      <c r="J28" s="264"/>
      <c r="K28" s="266"/>
      <c r="L28" s="264">
        <v>36</v>
      </c>
      <c r="M28" s="264"/>
      <c r="N28" s="264"/>
      <c r="O28" s="264"/>
      <c r="P28" s="265"/>
      <c r="Q28" s="265"/>
      <c r="R28" s="264"/>
      <c r="S28" s="264"/>
      <c r="T28" s="264"/>
      <c r="U28" s="266">
        <f t="shared" si="0"/>
        <v>36</v>
      </c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>
        <f t="shared" si="1"/>
        <v>0</v>
      </c>
      <c r="AM28" s="255"/>
      <c r="AN28" s="255"/>
    </row>
    <row r="29" spans="1:40" x14ac:dyDescent="0.35">
      <c r="A29" s="261">
        <v>42486</v>
      </c>
      <c r="B29" s="262">
        <v>1408</v>
      </c>
      <c r="C29" s="252" t="s">
        <v>221</v>
      </c>
      <c r="D29" s="263" t="s">
        <v>222</v>
      </c>
      <c r="E29" s="264">
        <v>463.89</v>
      </c>
      <c r="F29" s="268"/>
      <c r="G29" s="264"/>
      <c r="H29" s="264">
        <v>423.34</v>
      </c>
      <c r="I29" s="264">
        <v>40.549999999999997</v>
      </c>
      <c r="J29" s="264"/>
      <c r="K29" s="255">
        <f>H29+I29+J29</f>
        <v>463.89</v>
      </c>
      <c r="L29" s="264"/>
      <c r="M29" s="264"/>
      <c r="N29" s="264"/>
      <c r="O29" s="264"/>
      <c r="P29" s="265"/>
      <c r="Q29" s="265"/>
      <c r="R29" s="264"/>
      <c r="S29" s="264"/>
      <c r="T29" s="264"/>
      <c r="U29" s="266">
        <f t="shared" si="0"/>
        <v>0</v>
      </c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>
        <f t="shared" si="1"/>
        <v>0</v>
      </c>
      <c r="AM29" s="255"/>
      <c r="AN29" s="255"/>
    </row>
    <row r="30" spans="1:40" x14ac:dyDescent="0.35">
      <c r="A30" s="261">
        <v>42486</v>
      </c>
      <c r="B30" s="262">
        <v>1409</v>
      </c>
      <c r="C30" s="252" t="s">
        <v>197</v>
      </c>
      <c r="D30" s="263" t="s">
        <v>223</v>
      </c>
      <c r="E30" s="264">
        <v>546.48</v>
      </c>
      <c r="F30" s="268"/>
      <c r="G30" s="264"/>
      <c r="H30" s="264">
        <v>546.48</v>
      </c>
      <c r="I30" s="264"/>
      <c r="J30" s="264"/>
      <c r="K30" s="255">
        <f>H30+I30+J30</f>
        <v>546.48</v>
      </c>
      <c r="L30" s="264"/>
      <c r="M30" s="264"/>
      <c r="N30" s="264"/>
      <c r="O30" s="264"/>
      <c r="P30" s="265"/>
      <c r="Q30" s="265"/>
      <c r="R30" s="264"/>
      <c r="S30" s="264"/>
      <c r="T30" s="264"/>
      <c r="U30" s="266">
        <f t="shared" si="0"/>
        <v>0</v>
      </c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>
        <f t="shared" si="1"/>
        <v>0</v>
      </c>
      <c r="AM30" s="255"/>
      <c r="AN30" s="255"/>
    </row>
    <row r="31" spans="1:40" x14ac:dyDescent="0.35">
      <c r="A31" s="261">
        <v>42493</v>
      </c>
      <c r="B31" s="262">
        <v>1410</v>
      </c>
      <c r="C31" s="263" t="s">
        <v>240</v>
      </c>
      <c r="D31" s="263" t="s">
        <v>241</v>
      </c>
      <c r="E31" s="269">
        <v>100.8</v>
      </c>
      <c r="F31" s="265">
        <v>16.8</v>
      </c>
      <c r="G31" s="264"/>
      <c r="H31" s="264"/>
      <c r="I31" s="264"/>
      <c r="J31" s="264"/>
      <c r="K31" s="266"/>
      <c r="L31" s="264"/>
      <c r="M31" s="264"/>
      <c r="N31" s="264"/>
      <c r="O31" s="264"/>
      <c r="P31" s="265"/>
      <c r="Q31" s="265"/>
      <c r="R31" s="264"/>
      <c r="S31" s="264"/>
      <c r="T31" s="264"/>
      <c r="U31" s="266">
        <f t="shared" si="0"/>
        <v>0</v>
      </c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>
        <v>84</v>
      </c>
      <c r="AI31" s="264"/>
      <c r="AJ31" s="264"/>
      <c r="AK31" s="264"/>
      <c r="AL31" s="264">
        <f t="shared" si="1"/>
        <v>0</v>
      </c>
      <c r="AM31" s="255"/>
      <c r="AN31" s="255"/>
    </row>
    <row r="32" spans="1:40" x14ac:dyDescent="0.35">
      <c r="A32" s="261">
        <v>42493</v>
      </c>
      <c r="B32" s="262" t="s">
        <v>157</v>
      </c>
      <c r="C32" s="263" t="s">
        <v>242</v>
      </c>
      <c r="D32" s="263" t="s">
        <v>243</v>
      </c>
      <c r="E32" s="270">
        <v>1000</v>
      </c>
      <c r="F32" s="265">
        <v>166.67</v>
      </c>
      <c r="G32" s="264"/>
      <c r="H32" s="264"/>
      <c r="I32" s="264"/>
      <c r="J32" s="264"/>
      <c r="K32" s="266"/>
      <c r="L32" s="264"/>
      <c r="M32" s="264"/>
      <c r="N32" s="264"/>
      <c r="O32" s="264"/>
      <c r="P32" s="265"/>
      <c r="Q32" s="265"/>
      <c r="R32" s="264"/>
      <c r="S32" s="264"/>
      <c r="T32" s="264"/>
      <c r="U32" s="266">
        <f t="shared" si="0"/>
        <v>0</v>
      </c>
      <c r="V32" s="264"/>
      <c r="W32" s="264"/>
      <c r="X32" s="264"/>
      <c r="Y32" s="264"/>
      <c r="Z32" s="264">
        <v>833.33</v>
      </c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>
        <f t="shared" si="1"/>
        <v>0</v>
      </c>
      <c r="AM32" s="255"/>
      <c r="AN32" s="255"/>
    </row>
    <row r="33" spans="1:40" x14ac:dyDescent="0.35">
      <c r="A33" s="261">
        <v>42493</v>
      </c>
      <c r="B33" s="262">
        <v>1411</v>
      </c>
      <c r="C33" s="263" t="s">
        <v>244</v>
      </c>
      <c r="D33" s="263" t="s">
        <v>245</v>
      </c>
      <c r="E33" s="270">
        <v>40.090000000000003</v>
      </c>
      <c r="F33" s="265">
        <v>6.68</v>
      </c>
      <c r="G33" s="264"/>
      <c r="H33" s="264"/>
      <c r="I33" s="264"/>
      <c r="J33" s="264"/>
      <c r="K33" s="266"/>
      <c r="L33" s="264"/>
      <c r="M33" s="264"/>
      <c r="N33" s="264"/>
      <c r="O33" s="264"/>
      <c r="P33" s="265"/>
      <c r="Q33" s="265">
        <v>33.409999999999997</v>
      </c>
      <c r="R33" s="264"/>
      <c r="S33" s="264"/>
      <c r="T33" s="264"/>
      <c r="U33" s="266">
        <f t="shared" si="0"/>
        <v>33.409999999999997</v>
      </c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>
        <f t="shared" si="1"/>
        <v>0</v>
      </c>
      <c r="AM33" s="255"/>
      <c r="AN33" s="255"/>
    </row>
    <row r="34" spans="1:40" x14ac:dyDescent="0.35">
      <c r="A34" s="261">
        <v>42493</v>
      </c>
      <c r="B34" s="262">
        <v>1412</v>
      </c>
      <c r="C34" s="263" t="s">
        <v>197</v>
      </c>
      <c r="D34" s="263" t="s">
        <v>246</v>
      </c>
      <c r="E34" s="270">
        <v>5.99</v>
      </c>
      <c r="F34" s="265">
        <v>1</v>
      </c>
      <c r="G34" s="264"/>
      <c r="H34" s="264"/>
      <c r="I34" s="264"/>
      <c r="J34" s="264"/>
      <c r="K34" s="266"/>
      <c r="L34" s="264"/>
      <c r="M34" s="264"/>
      <c r="N34" s="264"/>
      <c r="O34" s="264"/>
      <c r="P34" s="264">
        <v>4.99</v>
      </c>
      <c r="Q34" s="264"/>
      <c r="R34" s="264"/>
      <c r="S34" s="264"/>
      <c r="T34" s="264"/>
      <c r="U34" s="266">
        <f t="shared" si="0"/>
        <v>4.99</v>
      </c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>
        <f t="shared" si="1"/>
        <v>0</v>
      </c>
      <c r="AM34" s="255"/>
      <c r="AN34" s="255"/>
    </row>
    <row r="35" spans="1:40" x14ac:dyDescent="0.35">
      <c r="A35" s="261">
        <v>42493</v>
      </c>
      <c r="B35" s="262">
        <v>1413</v>
      </c>
      <c r="C35" s="263" t="s">
        <v>235</v>
      </c>
      <c r="D35" s="263" t="s">
        <v>247</v>
      </c>
      <c r="E35" s="270">
        <v>10</v>
      </c>
      <c r="F35" s="265"/>
      <c r="G35" s="265"/>
      <c r="H35" s="265"/>
      <c r="I35" s="264"/>
      <c r="J35" s="265"/>
      <c r="K35" s="266"/>
      <c r="L35" s="265"/>
      <c r="M35" s="265"/>
      <c r="N35" s="265"/>
      <c r="O35" s="265"/>
      <c r="P35" s="265"/>
      <c r="Q35" s="265"/>
      <c r="R35" s="264"/>
      <c r="S35" s="264"/>
      <c r="T35" s="264"/>
      <c r="U35" s="266">
        <f t="shared" si="0"/>
        <v>0</v>
      </c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>
        <v>10</v>
      </c>
      <c r="AK35" s="264"/>
      <c r="AL35" s="264">
        <f t="shared" si="1"/>
        <v>0</v>
      </c>
      <c r="AM35" s="255"/>
      <c r="AN35" s="255"/>
    </row>
    <row r="36" spans="1:40" x14ac:dyDescent="0.35">
      <c r="A36" s="261">
        <v>42494</v>
      </c>
      <c r="B36" s="262" t="s">
        <v>157</v>
      </c>
      <c r="C36" s="263" t="s">
        <v>248</v>
      </c>
      <c r="D36" s="263" t="s">
        <v>249</v>
      </c>
      <c r="E36" s="264">
        <v>54.6</v>
      </c>
      <c r="F36" s="265">
        <v>9.1</v>
      </c>
      <c r="G36" s="265"/>
      <c r="H36" s="265"/>
      <c r="I36" s="265"/>
      <c r="J36" s="265"/>
      <c r="K36" s="266"/>
      <c r="L36" s="265"/>
      <c r="M36" s="265"/>
      <c r="N36" s="265"/>
      <c r="O36" s="265"/>
      <c r="P36" s="265">
        <v>45.5</v>
      </c>
      <c r="Q36" s="265"/>
      <c r="R36" s="264"/>
      <c r="S36" s="264"/>
      <c r="T36" s="264"/>
      <c r="U36" s="266">
        <f t="shared" si="0"/>
        <v>45.5</v>
      </c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>
        <f t="shared" si="1"/>
        <v>-7.1054273576010019E-15</v>
      </c>
      <c r="AM36" s="255"/>
      <c r="AN36" s="255"/>
    </row>
    <row r="37" spans="1:40" x14ac:dyDescent="0.35">
      <c r="A37" s="261">
        <v>42499</v>
      </c>
      <c r="B37" s="262" t="s">
        <v>157</v>
      </c>
      <c r="C37" s="263" t="s">
        <v>199</v>
      </c>
      <c r="D37" s="263" t="s">
        <v>200</v>
      </c>
      <c r="E37" s="264">
        <v>8</v>
      </c>
      <c r="F37" s="265"/>
      <c r="G37" s="264"/>
      <c r="H37" s="264"/>
      <c r="I37" s="264"/>
      <c r="J37" s="264"/>
      <c r="K37" s="266"/>
      <c r="L37" s="264">
        <v>8</v>
      </c>
      <c r="M37" s="264"/>
      <c r="N37" s="264"/>
      <c r="O37" s="264"/>
      <c r="P37" s="265"/>
      <c r="Q37" s="265"/>
      <c r="R37" s="264"/>
      <c r="S37" s="264"/>
      <c r="T37" s="264"/>
      <c r="U37" s="266">
        <f t="shared" si="0"/>
        <v>8</v>
      </c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>
        <f t="shared" si="1"/>
        <v>0</v>
      </c>
      <c r="AM37" s="255"/>
      <c r="AN37" s="255"/>
    </row>
    <row r="38" spans="1:40" x14ac:dyDescent="0.35">
      <c r="A38" s="261">
        <v>42500</v>
      </c>
      <c r="B38" s="262">
        <v>1415</v>
      </c>
      <c r="C38" s="263" t="s">
        <v>250</v>
      </c>
      <c r="D38" s="263" t="s">
        <v>200</v>
      </c>
      <c r="E38" s="264">
        <v>8</v>
      </c>
      <c r="F38" s="265"/>
      <c r="G38" s="264"/>
      <c r="H38" s="264"/>
      <c r="I38" s="264"/>
      <c r="J38" s="264"/>
      <c r="K38" s="266"/>
      <c r="L38" s="264">
        <v>8</v>
      </c>
      <c r="M38" s="264"/>
      <c r="N38" s="264"/>
      <c r="O38" s="264"/>
      <c r="P38" s="265"/>
      <c r="Q38" s="265"/>
      <c r="R38" s="264"/>
      <c r="S38" s="264"/>
      <c r="T38" s="264"/>
      <c r="U38" s="266">
        <f t="shared" si="0"/>
        <v>8</v>
      </c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>
        <f t="shared" si="1"/>
        <v>0</v>
      </c>
      <c r="AM38" s="255"/>
      <c r="AN38" s="255"/>
    </row>
    <row r="39" spans="1:40" x14ac:dyDescent="0.35">
      <c r="A39" s="261">
        <v>42500</v>
      </c>
      <c r="B39" s="262">
        <v>1416</v>
      </c>
      <c r="C39" s="263" t="s">
        <v>237</v>
      </c>
      <c r="D39" s="263" t="s">
        <v>251</v>
      </c>
      <c r="E39" s="264">
        <v>1877.5</v>
      </c>
      <c r="F39" s="265">
        <v>312.92</v>
      </c>
      <c r="G39" s="264"/>
      <c r="H39" s="264"/>
      <c r="I39" s="264"/>
      <c r="J39" s="264"/>
      <c r="K39" s="266">
        <f>+H39+I39+J39</f>
        <v>0</v>
      </c>
      <c r="L39" s="264"/>
      <c r="M39" s="264"/>
      <c r="N39" s="264"/>
      <c r="O39" s="264"/>
      <c r="P39" s="265"/>
      <c r="Q39" s="265"/>
      <c r="R39" s="264"/>
      <c r="S39" s="264"/>
      <c r="T39" s="264"/>
      <c r="U39" s="266">
        <f t="shared" si="0"/>
        <v>0</v>
      </c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>
        <v>1564.58</v>
      </c>
      <c r="AH39" s="264"/>
      <c r="AI39" s="264"/>
      <c r="AJ39" s="264"/>
      <c r="AK39" s="264"/>
      <c r="AL39" s="264">
        <f t="shared" si="1"/>
        <v>0</v>
      </c>
      <c r="AM39" s="255"/>
      <c r="AN39" s="255"/>
    </row>
    <row r="40" spans="1:40" x14ac:dyDescent="0.35">
      <c r="A40" s="261">
        <v>42502</v>
      </c>
      <c r="B40" s="262" t="s">
        <v>157</v>
      </c>
      <c r="C40" s="263" t="s">
        <v>252</v>
      </c>
      <c r="D40" s="263" t="s">
        <v>253</v>
      </c>
      <c r="E40" s="267">
        <v>1.6</v>
      </c>
      <c r="F40" s="265">
        <v>0.26</v>
      </c>
      <c r="G40" s="264"/>
      <c r="H40" s="264"/>
      <c r="I40" s="264"/>
      <c r="J40" s="264"/>
      <c r="K40" s="266"/>
      <c r="L40" s="264"/>
      <c r="M40" s="264"/>
      <c r="N40" s="264"/>
      <c r="O40" s="264"/>
      <c r="P40" s="264">
        <v>1.34</v>
      </c>
      <c r="Q40" s="264"/>
      <c r="R40" s="264"/>
      <c r="S40" s="264"/>
      <c r="T40" s="264"/>
      <c r="U40" s="266">
        <f t="shared" si="0"/>
        <v>1.34</v>
      </c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>
        <f t="shared" si="1"/>
        <v>2.2204460492503131E-16</v>
      </c>
      <c r="AM40" s="255"/>
      <c r="AN40" s="255"/>
    </row>
    <row r="41" spans="1:40" x14ac:dyDescent="0.35">
      <c r="A41" s="261">
        <v>42503</v>
      </c>
      <c r="B41" s="262" t="s">
        <v>129</v>
      </c>
      <c r="C41" s="263" t="s">
        <v>254</v>
      </c>
      <c r="D41" s="263" t="s">
        <v>305</v>
      </c>
      <c r="E41" s="267">
        <v>20000</v>
      </c>
      <c r="F41" s="265"/>
      <c r="G41" s="264">
        <v>20000</v>
      </c>
      <c r="H41" s="264"/>
      <c r="I41" s="264"/>
      <c r="J41" s="264"/>
      <c r="K41" s="266"/>
      <c r="L41" s="264"/>
      <c r="M41" s="264"/>
      <c r="N41" s="264"/>
      <c r="O41" s="264"/>
      <c r="P41" s="265"/>
      <c r="Q41" s="265"/>
      <c r="R41" s="264"/>
      <c r="S41" s="264"/>
      <c r="T41" s="264"/>
      <c r="U41" s="266">
        <f t="shared" si="0"/>
        <v>0</v>
      </c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>
        <f t="shared" si="1"/>
        <v>0</v>
      </c>
      <c r="AM41" s="255"/>
      <c r="AN41" s="255"/>
    </row>
    <row r="42" spans="1:40" x14ac:dyDescent="0.35">
      <c r="A42" s="261">
        <v>42509</v>
      </c>
      <c r="B42" s="262">
        <v>1417</v>
      </c>
      <c r="C42" s="263" t="s">
        <v>197</v>
      </c>
      <c r="D42" s="263" t="s">
        <v>255</v>
      </c>
      <c r="E42" s="267">
        <v>110.21</v>
      </c>
      <c r="F42" s="265">
        <v>18.37</v>
      </c>
      <c r="G42" s="264"/>
      <c r="H42" s="264"/>
      <c r="I42" s="264"/>
      <c r="J42" s="264"/>
      <c r="K42" s="266"/>
      <c r="L42" s="264"/>
      <c r="M42" s="264"/>
      <c r="N42" s="264"/>
      <c r="O42" s="264"/>
      <c r="P42" s="265"/>
      <c r="Q42" s="265"/>
      <c r="R42" s="264"/>
      <c r="S42" s="264"/>
      <c r="T42" s="264"/>
      <c r="U42" s="266">
        <f t="shared" si="0"/>
        <v>0</v>
      </c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>
        <v>91.84</v>
      </c>
      <c r="AK42" s="264"/>
      <c r="AL42" s="264">
        <f t="shared" si="1"/>
        <v>1.4210854715202004E-14</v>
      </c>
      <c r="AM42" s="255"/>
      <c r="AN42" s="255"/>
    </row>
    <row r="43" spans="1:40" x14ac:dyDescent="0.35">
      <c r="A43" s="261">
        <v>42509</v>
      </c>
      <c r="B43" s="262">
        <v>1418</v>
      </c>
      <c r="C43" s="263" t="s">
        <v>236</v>
      </c>
      <c r="D43" s="263" t="s">
        <v>256</v>
      </c>
      <c r="E43" s="267">
        <v>2.5</v>
      </c>
      <c r="F43" s="265"/>
      <c r="G43" s="264"/>
      <c r="H43" s="264"/>
      <c r="I43" s="264"/>
      <c r="J43" s="264"/>
      <c r="K43" s="266"/>
      <c r="L43" s="264"/>
      <c r="M43" s="264"/>
      <c r="N43" s="264"/>
      <c r="O43" s="264"/>
      <c r="P43" s="265"/>
      <c r="Q43" s="265">
        <v>2.5</v>
      </c>
      <c r="R43" s="264"/>
      <c r="S43" s="264"/>
      <c r="T43" s="264"/>
      <c r="U43" s="266">
        <f t="shared" si="0"/>
        <v>2.5</v>
      </c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>
        <f t="shared" si="1"/>
        <v>0</v>
      </c>
      <c r="AM43" s="255"/>
      <c r="AN43" s="255"/>
    </row>
    <row r="44" spans="1:40" x14ac:dyDescent="0.35">
      <c r="A44" s="261">
        <v>42509</v>
      </c>
      <c r="B44" s="262">
        <v>1419</v>
      </c>
      <c r="C44" s="263" t="s">
        <v>167</v>
      </c>
      <c r="D44" s="263" t="s">
        <v>257</v>
      </c>
      <c r="E44" s="267">
        <v>48</v>
      </c>
      <c r="F44" s="265"/>
      <c r="G44" s="264"/>
      <c r="H44" s="264"/>
      <c r="I44" s="264"/>
      <c r="J44" s="264"/>
      <c r="K44" s="266"/>
      <c r="L44" s="264"/>
      <c r="M44" s="264">
        <v>48</v>
      </c>
      <c r="N44" s="264"/>
      <c r="O44" s="264"/>
      <c r="P44" s="265"/>
      <c r="Q44" s="265"/>
      <c r="R44" s="264"/>
      <c r="S44" s="264"/>
      <c r="T44" s="264"/>
      <c r="U44" s="266">
        <f t="shared" si="0"/>
        <v>48</v>
      </c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>
        <f t="shared" si="1"/>
        <v>0</v>
      </c>
      <c r="AM44" s="255"/>
      <c r="AN44" s="255"/>
    </row>
    <row r="45" spans="1:40" x14ac:dyDescent="0.35">
      <c r="A45" s="261">
        <v>42513</v>
      </c>
      <c r="B45" s="262">
        <v>1420</v>
      </c>
      <c r="C45" s="263" t="s">
        <v>197</v>
      </c>
      <c r="D45" s="263" t="s">
        <v>258</v>
      </c>
      <c r="E45" s="267">
        <v>546.08000000000004</v>
      </c>
      <c r="F45" s="265"/>
      <c r="G45" s="264"/>
      <c r="H45" s="264">
        <v>546.08000000000004</v>
      </c>
      <c r="I45" s="264"/>
      <c r="J45" s="264"/>
      <c r="K45" s="266">
        <f>H45+I45+J45</f>
        <v>546.08000000000004</v>
      </c>
      <c r="L45" s="264"/>
      <c r="M45" s="264"/>
      <c r="N45" s="264"/>
      <c r="O45" s="264"/>
      <c r="P45" s="265"/>
      <c r="Q45" s="265"/>
      <c r="R45" s="264"/>
      <c r="S45" s="264"/>
      <c r="T45" s="264"/>
      <c r="U45" s="266">
        <f t="shared" si="0"/>
        <v>0</v>
      </c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>
        <f t="shared" si="1"/>
        <v>0</v>
      </c>
      <c r="AM45" s="255"/>
      <c r="AN45" s="255"/>
    </row>
    <row r="46" spans="1:40" x14ac:dyDescent="0.35">
      <c r="A46" s="261">
        <v>42513</v>
      </c>
      <c r="B46" s="262">
        <v>1421</v>
      </c>
      <c r="C46" s="252" t="s">
        <v>221</v>
      </c>
      <c r="D46" s="263" t="s">
        <v>222</v>
      </c>
      <c r="E46" s="267">
        <v>464.29</v>
      </c>
      <c r="F46" s="265"/>
      <c r="G46" s="264"/>
      <c r="H46" s="264">
        <v>423.74</v>
      </c>
      <c r="I46" s="264">
        <v>40.549999999999997</v>
      </c>
      <c r="J46" s="264"/>
      <c r="K46" s="266">
        <f>+H46+I46+J46</f>
        <v>464.29</v>
      </c>
      <c r="L46" s="264"/>
      <c r="M46" s="264"/>
      <c r="N46" s="264"/>
      <c r="O46" s="264"/>
      <c r="P46" s="265"/>
      <c r="Q46" s="265"/>
      <c r="R46" s="264"/>
      <c r="S46" s="264"/>
      <c r="T46" s="264"/>
      <c r="U46" s="266">
        <f t="shared" si="0"/>
        <v>0</v>
      </c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>
        <f t="shared" si="1"/>
        <v>0</v>
      </c>
      <c r="AM46" s="255"/>
      <c r="AN46" s="255"/>
    </row>
    <row r="47" spans="1:40" x14ac:dyDescent="0.35">
      <c r="A47" s="261">
        <v>42516</v>
      </c>
      <c r="B47" s="262">
        <v>1422</v>
      </c>
      <c r="C47" s="263" t="s">
        <v>237</v>
      </c>
      <c r="D47" s="263" t="s">
        <v>259</v>
      </c>
      <c r="E47" s="264">
        <v>1008</v>
      </c>
      <c r="F47" s="265">
        <v>168</v>
      </c>
      <c r="G47" s="264"/>
      <c r="H47" s="264"/>
      <c r="I47" s="264"/>
      <c r="J47" s="264"/>
      <c r="K47" s="266">
        <f t="shared" ref="K47:K110" si="2">+H47+I47+J47</f>
        <v>0</v>
      </c>
      <c r="L47" s="264"/>
      <c r="M47" s="264"/>
      <c r="N47" s="264"/>
      <c r="O47" s="264"/>
      <c r="P47" s="265"/>
      <c r="Q47" s="265"/>
      <c r="R47" s="264"/>
      <c r="S47" s="264"/>
      <c r="T47" s="264"/>
      <c r="U47" s="266">
        <f t="shared" si="0"/>
        <v>0</v>
      </c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>
        <v>840</v>
      </c>
      <c r="AK47" s="264"/>
      <c r="AL47" s="264">
        <f t="shared" si="1"/>
        <v>0</v>
      </c>
      <c r="AM47" s="255"/>
      <c r="AN47" s="255"/>
    </row>
    <row r="48" spans="1:40" x14ac:dyDescent="0.35">
      <c r="A48" s="261">
        <v>42516</v>
      </c>
      <c r="B48" s="262">
        <v>1423</v>
      </c>
      <c r="C48" s="252" t="s">
        <v>238</v>
      </c>
      <c r="D48" s="263" t="s">
        <v>260</v>
      </c>
      <c r="E48" s="264">
        <v>506.4</v>
      </c>
      <c r="F48" s="265">
        <v>84.4</v>
      </c>
      <c r="G48" s="264"/>
      <c r="H48" s="264"/>
      <c r="I48" s="264"/>
      <c r="J48" s="264"/>
      <c r="K48" s="266">
        <f t="shared" si="2"/>
        <v>0</v>
      </c>
      <c r="L48" s="264"/>
      <c r="M48" s="264"/>
      <c r="N48" s="264"/>
      <c r="O48" s="264"/>
      <c r="P48" s="265"/>
      <c r="Q48" s="265"/>
      <c r="R48" s="264"/>
      <c r="S48" s="264"/>
      <c r="T48" s="264"/>
      <c r="U48" s="266">
        <f t="shared" si="0"/>
        <v>0</v>
      </c>
      <c r="V48" s="264">
        <v>422</v>
      </c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>
        <f t="shared" si="1"/>
        <v>0</v>
      </c>
      <c r="AM48" s="255"/>
      <c r="AN48" s="255"/>
    </row>
    <row r="49" spans="1:40" x14ac:dyDescent="0.35">
      <c r="A49" s="261">
        <v>42521</v>
      </c>
      <c r="B49" s="262" t="s">
        <v>157</v>
      </c>
      <c r="C49" s="263" t="s">
        <v>242</v>
      </c>
      <c r="D49" s="263" t="s">
        <v>261</v>
      </c>
      <c r="E49" s="264">
        <v>1000</v>
      </c>
      <c r="F49" s="265">
        <v>166.67</v>
      </c>
      <c r="G49" s="264"/>
      <c r="H49" s="264"/>
      <c r="I49" s="264"/>
      <c r="J49" s="264"/>
      <c r="K49" s="266">
        <f t="shared" si="2"/>
        <v>0</v>
      </c>
      <c r="L49" s="264"/>
      <c r="M49" s="264"/>
      <c r="N49" s="264"/>
      <c r="O49" s="264"/>
      <c r="P49" s="265"/>
      <c r="Q49" s="265"/>
      <c r="R49" s="264"/>
      <c r="S49" s="264"/>
      <c r="T49" s="264"/>
      <c r="U49" s="266">
        <f t="shared" si="0"/>
        <v>0</v>
      </c>
      <c r="V49" s="264"/>
      <c r="W49" s="264"/>
      <c r="X49" s="264"/>
      <c r="Y49" s="264"/>
      <c r="Z49" s="264">
        <v>833.33</v>
      </c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>
        <f t="shared" si="1"/>
        <v>0</v>
      </c>
      <c r="AM49" s="255"/>
      <c r="AN49" s="255"/>
    </row>
    <row r="50" spans="1:40" x14ac:dyDescent="0.35">
      <c r="A50" s="261">
        <v>42523</v>
      </c>
      <c r="B50" s="262">
        <v>1424</v>
      </c>
      <c r="C50" s="263" t="s">
        <v>291</v>
      </c>
      <c r="D50" s="263" t="s">
        <v>266</v>
      </c>
      <c r="E50" s="269">
        <v>1114.8</v>
      </c>
      <c r="F50" s="269">
        <v>185.8</v>
      </c>
      <c r="G50" s="264"/>
      <c r="H50" s="264"/>
      <c r="I50" s="264"/>
      <c r="J50" s="264"/>
      <c r="K50" s="266">
        <f t="shared" si="2"/>
        <v>0</v>
      </c>
      <c r="L50" s="264"/>
      <c r="M50" s="264"/>
      <c r="N50" s="264"/>
      <c r="O50" s="264"/>
      <c r="P50" s="265"/>
      <c r="Q50" s="265"/>
      <c r="R50" s="264"/>
      <c r="S50" s="264"/>
      <c r="T50" s="264"/>
      <c r="U50" s="266">
        <f t="shared" si="0"/>
        <v>0</v>
      </c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>
        <v>929</v>
      </c>
      <c r="AK50" s="264"/>
      <c r="AL50" s="264">
        <f t="shared" si="1"/>
        <v>0</v>
      </c>
      <c r="AM50" s="255"/>
      <c r="AN50" s="255"/>
    </row>
    <row r="51" spans="1:40" x14ac:dyDescent="0.35">
      <c r="A51" s="261">
        <v>42523</v>
      </c>
      <c r="B51" s="262">
        <v>1425</v>
      </c>
      <c r="C51" s="263" t="s">
        <v>237</v>
      </c>
      <c r="D51" s="263" t="s">
        <v>267</v>
      </c>
      <c r="E51" s="270">
        <v>600</v>
      </c>
      <c r="F51" s="270">
        <v>100</v>
      </c>
      <c r="G51" s="264"/>
      <c r="H51" s="264"/>
      <c r="I51" s="264"/>
      <c r="J51" s="264"/>
      <c r="K51" s="266">
        <f t="shared" si="2"/>
        <v>0</v>
      </c>
      <c r="L51" s="264"/>
      <c r="M51" s="264"/>
      <c r="N51" s="264"/>
      <c r="O51" s="264"/>
      <c r="P51" s="265"/>
      <c r="Q51" s="265"/>
      <c r="R51" s="264"/>
      <c r="S51" s="264"/>
      <c r="T51" s="264"/>
      <c r="U51" s="266">
        <f t="shared" si="0"/>
        <v>0</v>
      </c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>
        <v>500</v>
      </c>
      <c r="AK51" s="264"/>
      <c r="AL51" s="264">
        <f t="shared" si="1"/>
        <v>0</v>
      </c>
      <c r="AM51" s="255"/>
      <c r="AN51" s="255"/>
    </row>
    <row r="52" spans="1:40" x14ac:dyDescent="0.35">
      <c r="A52" s="261">
        <v>42523</v>
      </c>
      <c r="B52" s="262">
        <v>1425</v>
      </c>
      <c r="C52" s="263" t="s">
        <v>237</v>
      </c>
      <c r="D52" s="263" t="s">
        <v>268</v>
      </c>
      <c r="E52" s="270">
        <v>1877.5</v>
      </c>
      <c r="F52" s="270">
        <v>312.92</v>
      </c>
      <c r="G52" s="264"/>
      <c r="H52" s="264"/>
      <c r="I52" s="264"/>
      <c r="J52" s="264"/>
      <c r="K52" s="266">
        <f t="shared" si="2"/>
        <v>0</v>
      </c>
      <c r="L52" s="264"/>
      <c r="M52" s="264"/>
      <c r="N52" s="264"/>
      <c r="O52" s="264"/>
      <c r="P52" s="265"/>
      <c r="Q52" s="265"/>
      <c r="R52" s="264"/>
      <c r="S52" s="264"/>
      <c r="T52" s="264"/>
      <c r="U52" s="266">
        <f t="shared" si="0"/>
        <v>0</v>
      </c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>
        <v>1564.58</v>
      </c>
      <c r="AH52" s="264"/>
      <c r="AI52" s="264"/>
      <c r="AJ52" s="264"/>
      <c r="AK52" s="264"/>
      <c r="AL52" s="264">
        <f t="shared" si="1"/>
        <v>0</v>
      </c>
      <c r="AM52" s="255"/>
      <c r="AN52" s="255"/>
    </row>
    <row r="53" spans="1:40" x14ac:dyDescent="0.35">
      <c r="A53" s="261">
        <v>42523</v>
      </c>
      <c r="B53" s="262">
        <v>1426</v>
      </c>
      <c r="C53" s="263" t="s">
        <v>197</v>
      </c>
      <c r="D53" s="263" t="s">
        <v>269</v>
      </c>
      <c r="E53" s="270">
        <v>49.75</v>
      </c>
      <c r="F53" s="270">
        <v>8.2899999999999991</v>
      </c>
      <c r="G53" s="264"/>
      <c r="H53" s="264"/>
      <c r="I53" s="264"/>
      <c r="J53" s="264"/>
      <c r="K53" s="266">
        <f t="shared" si="2"/>
        <v>0</v>
      </c>
      <c r="L53" s="264"/>
      <c r="M53" s="264"/>
      <c r="N53" s="264"/>
      <c r="O53" s="264"/>
      <c r="P53" s="265">
        <v>41.46</v>
      </c>
      <c r="Q53" s="265"/>
      <c r="R53" s="264"/>
      <c r="S53" s="264"/>
      <c r="T53" s="264"/>
      <c r="U53" s="266">
        <f t="shared" si="0"/>
        <v>41.46</v>
      </c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>
        <f t="shared" si="1"/>
        <v>7.1054273576010019E-15</v>
      </c>
      <c r="AM53" s="255"/>
      <c r="AN53" s="255"/>
    </row>
    <row r="54" spans="1:40" x14ac:dyDescent="0.35">
      <c r="A54" s="261">
        <v>42527</v>
      </c>
      <c r="B54" s="262" t="s">
        <v>303</v>
      </c>
      <c r="C54" s="263" t="s">
        <v>213</v>
      </c>
      <c r="D54" s="263" t="s">
        <v>270</v>
      </c>
      <c r="E54" s="270">
        <v>-150</v>
      </c>
      <c r="F54" s="270"/>
      <c r="G54" s="264"/>
      <c r="H54" s="264"/>
      <c r="I54" s="264"/>
      <c r="J54" s="264"/>
      <c r="K54" s="266">
        <f t="shared" si="2"/>
        <v>0</v>
      </c>
      <c r="L54" s="264"/>
      <c r="M54" s="264"/>
      <c r="N54" s="264"/>
      <c r="O54" s="264"/>
      <c r="P54" s="265"/>
      <c r="Q54" s="265"/>
      <c r="R54" s="264"/>
      <c r="S54" s="264"/>
      <c r="T54" s="264"/>
      <c r="U54" s="266">
        <f t="shared" si="0"/>
        <v>0</v>
      </c>
      <c r="V54" s="264"/>
      <c r="W54" s="264"/>
      <c r="X54" s="264">
        <v>-150</v>
      </c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>
        <f t="shared" si="1"/>
        <v>0</v>
      </c>
      <c r="AM54" s="255"/>
      <c r="AN54" s="255"/>
    </row>
    <row r="55" spans="1:40" x14ac:dyDescent="0.35">
      <c r="A55" s="261">
        <v>42527</v>
      </c>
      <c r="B55" s="262" t="s">
        <v>157</v>
      </c>
      <c r="C55" s="263" t="s">
        <v>248</v>
      </c>
      <c r="D55" s="263" t="s">
        <v>249</v>
      </c>
      <c r="E55" s="264">
        <v>42.34</v>
      </c>
      <c r="F55" s="270">
        <v>7.06</v>
      </c>
      <c r="G55" s="264"/>
      <c r="H55" s="264"/>
      <c r="I55" s="264"/>
      <c r="J55" s="264"/>
      <c r="K55" s="266">
        <f t="shared" si="2"/>
        <v>0</v>
      </c>
      <c r="L55" s="264"/>
      <c r="M55" s="264"/>
      <c r="N55" s="264"/>
      <c r="O55" s="264"/>
      <c r="P55" s="265">
        <v>35.28</v>
      </c>
      <c r="Q55" s="265"/>
      <c r="R55" s="264"/>
      <c r="S55" s="264"/>
      <c r="T55" s="264"/>
      <c r="U55" s="266">
        <f t="shared" si="0"/>
        <v>35.28</v>
      </c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>
        <f t="shared" si="1"/>
        <v>0</v>
      </c>
      <c r="AM55" s="255"/>
      <c r="AN55" s="255"/>
    </row>
    <row r="56" spans="1:40" x14ac:dyDescent="0.35">
      <c r="A56" s="261">
        <v>42527</v>
      </c>
      <c r="B56" s="262">
        <v>1428</v>
      </c>
      <c r="C56" s="263" t="s">
        <v>292</v>
      </c>
      <c r="D56" s="263" t="s">
        <v>271</v>
      </c>
      <c r="E56" s="264">
        <v>250</v>
      </c>
      <c r="F56" s="270"/>
      <c r="G56" s="264"/>
      <c r="H56" s="264"/>
      <c r="I56" s="264"/>
      <c r="J56" s="264"/>
      <c r="K56" s="266">
        <f t="shared" si="2"/>
        <v>0</v>
      </c>
      <c r="L56" s="264"/>
      <c r="M56" s="264"/>
      <c r="N56" s="264"/>
      <c r="O56" s="264"/>
      <c r="P56" s="265"/>
      <c r="Q56" s="265"/>
      <c r="R56" s="264"/>
      <c r="S56" s="264"/>
      <c r="T56" s="264"/>
      <c r="U56" s="266">
        <f t="shared" si="0"/>
        <v>0</v>
      </c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>
        <v>250</v>
      </c>
      <c r="AK56" s="264"/>
      <c r="AL56" s="264">
        <f t="shared" si="1"/>
        <v>0</v>
      </c>
      <c r="AM56" s="255"/>
      <c r="AN56" s="255"/>
    </row>
    <row r="57" spans="1:40" x14ac:dyDescent="0.35">
      <c r="A57" s="261">
        <v>42527</v>
      </c>
      <c r="B57" s="262">
        <v>1429</v>
      </c>
      <c r="C57" s="263" t="s">
        <v>217</v>
      </c>
      <c r="D57" s="263" t="s">
        <v>272</v>
      </c>
      <c r="E57" s="264">
        <v>800</v>
      </c>
      <c r="F57" s="270"/>
      <c r="G57" s="264"/>
      <c r="H57" s="264"/>
      <c r="I57" s="264"/>
      <c r="J57" s="264"/>
      <c r="K57" s="266">
        <f t="shared" si="2"/>
        <v>0</v>
      </c>
      <c r="L57" s="264"/>
      <c r="M57" s="264"/>
      <c r="N57" s="264"/>
      <c r="O57" s="264"/>
      <c r="P57" s="265"/>
      <c r="Q57" s="265"/>
      <c r="R57" s="264"/>
      <c r="S57" s="264"/>
      <c r="T57" s="264"/>
      <c r="U57" s="266">
        <f t="shared" si="0"/>
        <v>0</v>
      </c>
      <c r="V57" s="264"/>
      <c r="W57" s="264"/>
      <c r="X57" s="264">
        <v>800</v>
      </c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>
        <f t="shared" si="1"/>
        <v>0</v>
      </c>
      <c r="AM57" s="255"/>
      <c r="AN57" s="255"/>
    </row>
    <row r="58" spans="1:40" x14ac:dyDescent="0.35">
      <c r="A58" s="261">
        <v>42528</v>
      </c>
      <c r="B58" s="262">
        <v>1430</v>
      </c>
      <c r="C58" s="263" t="s">
        <v>293</v>
      </c>
      <c r="D58" s="263" t="s">
        <v>273</v>
      </c>
      <c r="E58" s="264">
        <v>31.05</v>
      </c>
      <c r="F58" s="270"/>
      <c r="G58" s="264"/>
      <c r="H58" s="264"/>
      <c r="I58" s="264"/>
      <c r="J58" s="264"/>
      <c r="K58" s="266">
        <f t="shared" si="2"/>
        <v>0</v>
      </c>
      <c r="L58" s="264"/>
      <c r="M58" s="264"/>
      <c r="N58" s="264"/>
      <c r="O58" s="264"/>
      <c r="P58" s="265"/>
      <c r="Q58" s="265"/>
      <c r="R58" s="264"/>
      <c r="S58" s="264"/>
      <c r="T58" s="264"/>
      <c r="U58" s="266">
        <f t="shared" si="0"/>
        <v>0</v>
      </c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>
        <v>31.05</v>
      </c>
      <c r="AK58" s="264"/>
      <c r="AL58" s="264">
        <f t="shared" si="1"/>
        <v>0</v>
      </c>
      <c r="AM58" s="255"/>
      <c r="AN58" s="255"/>
    </row>
    <row r="59" spans="1:40" x14ac:dyDescent="0.35">
      <c r="A59" s="261">
        <v>42528</v>
      </c>
      <c r="B59" s="262" t="s">
        <v>157</v>
      </c>
      <c r="C59" s="263" t="s">
        <v>199</v>
      </c>
      <c r="D59" s="263" t="s">
        <v>200</v>
      </c>
      <c r="E59" s="267">
        <v>8</v>
      </c>
      <c r="F59" s="270"/>
      <c r="G59" s="264"/>
      <c r="H59" s="264"/>
      <c r="I59" s="264"/>
      <c r="J59" s="264"/>
      <c r="K59" s="266">
        <f t="shared" si="2"/>
        <v>0</v>
      </c>
      <c r="L59" s="264">
        <v>8</v>
      </c>
      <c r="M59" s="264"/>
      <c r="N59" s="264"/>
      <c r="O59" s="264"/>
      <c r="P59" s="265"/>
      <c r="Q59" s="265"/>
      <c r="R59" s="264"/>
      <c r="S59" s="264"/>
      <c r="T59" s="264"/>
      <c r="U59" s="266">
        <f t="shared" si="0"/>
        <v>8</v>
      </c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>
        <f t="shared" si="1"/>
        <v>0</v>
      </c>
      <c r="AM59" s="255"/>
      <c r="AN59" s="255"/>
    </row>
    <row r="60" spans="1:40" x14ac:dyDescent="0.35">
      <c r="A60" s="261">
        <v>42528</v>
      </c>
      <c r="B60" s="262">
        <v>1431</v>
      </c>
      <c r="C60" s="263" t="s">
        <v>167</v>
      </c>
      <c r="D60" s="263" t="s">
        <v>274</v>
      </c>
      <c r="E60" s="267">
        <v>500</v>
      </c>
      <c r="F60" s="270"/>
      <c r="G60" s="264"/>
      <c r="H60" s="264"/>
      <c r="I60" s="264"/>
      <c r="J60" s="264"/>
      <c r="K60" s="266">
        <f t="shared" si="2"/>
        <v>0</v>
      </c>
      <c r="L60" s="264"/>
      <c r="M60" s="264"/>
      <c r="N60" s="264"/>
      <c r="O60" s="264"/>
      <c r="P60" s="265"/>
      <c r="Q60" s="265"/>
      <c r="R60" s="264"/>
      <c r="S60" s="264"/>
      <c r="T60" s="264"/>
      <c r="U60" s="266">
        <f t="shared" si="0"/>
        <v>0</v>
      </c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>
        <v>500</v>
      </c>
      <c r="AK60" s="264"/>
      <c r="AL60" s="264">
        <f t="shared" si="1"/>
        <v>0</v>
      </c>
      <c r="AM60" s="255"/>
      <c r="AN60" s="255"/>
    </row>
    <row r="61" spans="1:40" x14ac:dyDescent="0.35">
      <c r="A61" s="261">
        <v>42530</v>
      </c>
      <c r="B61" s="262">
        <v>1432</v>
      </c>
      <c r="C61" s="263" t="s">
        <v>294</v>
      </c>
      <c r="D61" s="263" t="s">
        <v>275</v>
      </c>
      <c r="E61" s="267">
        <v>125</v>
      </c>
      <c r="F61" s="270"/>
      <c r="G61" s="264"/>
      <c r="H61" s="264"/>
      <c r="I61" s="264"/>
      <c r="J61" s="264"/>
      <c r="K61" s="266">
        <f t="shared" si="2"/>
        <v>0</v>
      </c>
      <c r="L61" s="264"/>
      <c r="M61" s="264"/>
      <c r="N61" s="264"/>
      <c r="O61" s="264"/>
      <c r="P61" s="265"/>
      <c r="Q61" s="265"/>
      <c r="R61" s="264"/>
      <c r="S61" s="264"/>
      <c r="T61" s="264"/>
      <c r="U61" s="266">
        <f t="shared" si="0"/>
        <v>0</v>
      </c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>
        <v>125</v>
      </c>
      <c r="AK61" s="264"/>
      <c r="AL61" s="264">
        <f t="shared" si="1"/>
        <v>0</v>
      </c>
      <c r="AM61" s="255"/>
      <c r="AN61" s="255"/>
    </row>
    <row r="62" spans="1:40" x14ac:dyDescent="0.35">
      <c r="A62" s="261">
        <v>42530</v>
      </c>
      <c r="B62" s="262">
        <v>1433</v>
      </c>
      <c r="C62" s="263" t="s">
        <v>295</v>
      </c>
      <c r="D62" s="263" t="s">
        <v>276</v>
      </c>
      <c r="E62" s="267">
        <v>150</v>
      </c>
      <c r="F62" s="270"/>
      <c r="G62" s="264"/>
      <c r="H62" s="264"/>
      <c r="I62" s="264"/>
      <c r="J62" s="264"/>
      <c r="K62" s="266">
        <f t="shared" si="2"/>
        <v>0</v>
      </c>
      <c r="L62" s="264"/>
      <c r="M62" s="264"/>
      <c r="N62" s="264"/>
      <c r="O62" s="264"/>
      <c r="P62" s="265"/>
      <c r="Q62" s="265"/>
      <c r="R62" s="264"/>
      <c r="S62" s="264"/>
      <c r="T62" s="264"/>
      <c r="U62" s="266">
        <f t="shared" si="0"/>
        <v>0</v>
      </c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>
        <v>150</v>
      </c>
      <c r="AK62" s="264"/>
      <c r="AL62" s="264">
        <f t="shared" si="1"/>
        <v>0</v>
      </c>
      <c r="AM62" s="255"/>
      <c r="AN62" s="255"/>
    </row>
    <row r="63" spans="1:40" x14ac:dyDescent="0.35">
      <c r="A63" s="261">
        <v>42534</v>
      </c>
      <c r="B63" s="262" t="s">
        <v>157</v>
      </c>
      <c r="C63" s="252" t="s">
        <v>296</v>
      </c>
      <c r="D63" s="263" t="s">
        <v>277</v>
      </c>
      <c r="E63" s="267">
        <v>8.2899999999999991</v>
      </c>
      <c r="F63" s="270">
        <v>1.38</v>
      </c>
      <c r="G63" s="264"/>
      <c r="H63" s="264"/>
      <c r="I63" s="264"/>
      <c r="J63" s="264"/>
      <c r="K63" s="266">
        <f t="shared" si="2"/>
        <v>0</v>
      </c>
      <c r="L63" s="264"/>
      <c r="M63" s="264"/>
      <c r="N63" s="264"/>
      <c r="O63" s="264"/>
      <c r="P63" s="265">
        <v>6.91</v>
      </c>
      <c r="Q63" s="265"/>
      <c r="R63" s="264"/>
      <c r="S63" s="264"/>
      <c r="T63" s="264"/>
      <c r="U63" s="266">
        <f t="shared" si="0"/>
        <v>6.91</v>
      </c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>
        <f t="shared" si="1"/>
        <v>0</v>
      </c>
      <c r="AM63" s="255"/>
      <c r="AN63" s="255"/>
    </row>
    <row r="64" spans="1:40" x14ac:dyDescent="0.35">
      <c r="A64" s="261">
        <v>42534</v>
      </c>
      <c r="B64" s="262">
        <v>1434</v>
      </c>
      <c r="C64" s="263" t="s">
        <v>297</v>
      </c>
      <c r="D64" s="263" t="s">
        <v>278</v>
      </c>
      <c r="E64" s="267">
        <v>600</v>
      </c>
      <c r="F64" s="270"/>
      <c r="G64" s="264"/>
      <c r="H64" s="264"/>
      <c r="I64" s="264"/>
      <c r="J64" s="264"/>
      <c r="K64" s="266">
        <f t="shared" si="2"/>
        <v>0</v>
      </c>
      <c r="L64" s="264"/>
      <c r="M64" s="264"/>
      <c r="N64" s="264"/>
      <c r="O64" s="264"/>
      <c r="P64" s="265"/>
      <c r="Q64" s="265"/>
      <c r="R64" s="264"/>
      <c r="S64" s="264"/>
      <c r="T64" s="264"/>
      <c r="U64" s="266">
        <f t="shared" si="0"/>
        <v>0</v>
      </c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>
        <v>600</v>
      </c>
      <c r="AK64" s="264"/>
      <c r="AL64" s="264">
        <f t="shared" si="1"/>
        <v>0</v>
      </c>
      <c r="AM64" s="255"/>
      <c r="AN64" s="255"/>
    </row>
    <row r="65" spans="1:40" x14ac:dyDescent="0.35">
      <c r="A65" s="261">
        <v>42534</v>
      </c>
      <c r="B65" s="262">
        <v>1435</v>
      </c>
      <c r="C65" s="263" t="s">
        <v>293</v>
      </c>
      <c r="D65" s="263" t="s">
        <v>279</v>
      </c>
      <c r="E65" s="267">
        <v>13.5</v>
      </c>
      <c r="F65" s="270"/>
      <c r="G65" s="264"/>
      <c r="H65" s="264"/>
      <c r="I65" s="264"/>
      <c r="J65" s="264"/>
      <c r="K65" s="266">
        <f t="shared" si="2"/>
        <v>0</v>
      </c>
      <c r="L65" s="264"/>
      <c r="M65" s="264"/>
      <c r="N65" s="264"/>
      <c r="O65" s="264"/>
      <c r="P65" s="265"/>
      <c r="Q65" s="265"/>
      <c r="R65" s="264"/>
      <c r="S65" s="264"/>
      <c r="T65" s="264"/>
      <c r="U65" s="266">
        <f t="shared" si="0"/>
        <v>0</v>
      </c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>
        <v>13.5</v>
      </c>
      <c r="AK65" s="264"/>
      <c r="AL65" s="264">
        <f t="shared" si="1"/>
        <v>0</v>
      </c>
      <c r="AM65" s="255"/>
      <c r="AN65" s="255"/>
    </row>
    <row r="66" spans="1:40" x14ac:dyDescent="0.35">
      <c r="A66" s="261">
        <v>42534</v>
      </c>
      <c r="B66" s="262">
        <v>1436</v>
      </c>
      <c r="C66" s="263" t="s">
        <v>219</v>
      </c>
      <c r="D66" s="263" t="s">
        <v>280</v>
      </c>
      <c r="E66" s="264">
        <v>18.47</v>
      </c>
      <c r="F66" s="270">
        <v>3.08</v>
      </c>
      <c r="G66" s="264"/>
      <c r="H66" s="264"/>
      <c r="I66" s="264"/>
      <c r="J66" s="264"/>
      <c r="K66" s="266">
        <f t="shared" si="2"/>
        <v>0</v>
      </c>
      <c r="L66" s="264"/>
      <c r="M66" s="264"/>
      <c r="N66" s="264"/>
      <c r="O66" s="264"/>
      <c r="P66" s="265"/>
      <c r="Q66" s="265">
        <v>15.39</v>
      </c>
      <c r="R66" s="264"/>
      <c r="S66" s="264"/>
      <c r="T66" s="264"/>
      <c r="U66" s="266">
        <f t="shared" si="0"/>
        <v>15.39</v>
      </c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>
        <f t="shared" si="1"/>
        <v>0</v>
      </c>
      <c r="AM66" s="255"/>
      <c r="AN66" s="255"/>
    </row>
    <row r="67" spans="1:40" x14ac:dyDescent="0.35">
      <c r="A67" s="261">
        <v>42534</v>
      </c>
      <c r="B67" s="262">
        <v>1437</v>
      </c>
      <c r="C67" s="263" t="s">
        <v>298</v>
      </c>
      <c r="D67" s="263" t="s">
        <v>281</v>
      </c>
      <c r="E67" s="264">
        <v>300</v>
      </c>
      <c r="F67" s="270"/>
      <c r="G67" s="264"/>
      <c r="H67" s="264"/>
      <c r="I67" s="264"/>
      <c r="J67" s="264"/>
      <c r="K67" s="266">
        <f t="shared" si="2"/>
        <v>0</v>
      </c>
      <c r="L67" s="264"/>
      <c r="M67" s="264"/>
      <c r="N67" s="264"/>
      <c r="O67" s="264"/>
      <c r="P67" s="265"/>
      <c r="Q67" s="265"/>
      <c r="R67" s="264"/>
      <c r="S67" s="264"/>
      <c r="T67" s="264"/>
      <c r="U67" s="266">
        <f t="shared" si="0"/>
        <v>0</v>
      </c>
      <c r="V67" s="264"/>
      <c r="W67" s="264">
        <v>300</v>
      </c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>
        <f t="shared" si="1"/>
        <v>0</v>
      </c>
      <c r="AM67" s="255"/>
      <c r="AN67" s="255"/>
    </row>
    <row r="68" spans="1:40" x14ac:dyDescent="0.35">
      <c r="A68" s="261">
        <v>42541</v>
      </c>
      <c r="B68" s="262">
        <v>1438</v>
      </c>
      <c r="C68" s="263" t="s">
        <v>167</v>
      </c>
      <c r="D68" s="263" t="s">
        <v>282</v>
      </c>
      <c r="E68" s="264">
        <v>3000</v>
      </c>
      <c r="F68" s="270"/>
      <c r="G68" s="264"/>
      <c r="H68" s="264"/>
      <c r="I68" s="264"/>
      <c r="J68" s="264"/>
      <c r="K68" s="266">
        <f t="shared" si="2"/>
        <v>0</v>
      </c>
      <c r="L68" s="264"/>
      <c r="M68" s="264"/>
      <c r="N68" s="264"/>
      <c r="O68" s="264">
        <v>3000</v>
      </c>
      <c r="P68" s="265"/>
      <c r="Q68" s="265"/>
      <c r="R68" s="264"/>
      <c r="S68" s="264"/>
      <c r="T68" s="264"/>
      <c r="U68" s="266">
        <f t="shared" si="0"/>
        <v>3000</v>
      </c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>
        <f t="shared" si="1"/>
        <v>0</v>
      </c>
      <c r="AM68" s="255"/>
      <c r="AN68" s="255"/>
    </row>
    <row r="69" spans="1:40" x14ac:dyDescent="0.35">
      <c r="A69" s="261">
        <v>42541</v>
      </c>
      <c r="B69" s="262">
        <v>1439</v>
      </c>
      <c r="C69" s="263" t="s">
        <v>197</v>
      </c>
      <c r="D69" s="263" t="s">
        <v>283</v>
      </c>
      <c r="E69" s="264">
        <v>560.04</v>
      </c>
      <c r="F69" s="270"/>
      <c r="G69" s="264"/>
      <c r="H69" s="264">
        <v>560.04</v>
      </c>
      <c r="I69" s="264"/>
      <c r="J69" s="264"/>
      <c r="K69" s="266">
        <f t="shared" si="2"/>
        <v>560.04</v>
      </c>
      <c r="L69" s="264"/>
      <c r="M69" s="264"/>
      <c r="N69" s="264"/>
      <c r="O69" s="264"/>
      <c r="P69" s="265"/>
      <c r="Q69" s="265"/>
      <c r="R69" s="264"/>
      <c r="S69" s="264"/>
      <c r="T69" s="264"/>
      <c r="U69" s="266">
        <f t="shared" si="0"/>
        <v>0</v>
      </c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>
        <f t="shared" si="1"/>
        <v>0</v>
      </c>
      <c r="AM69" s="255"/>
      <c r="AN69" s="255"/>
    </row>
    <row r="70" spans="1:40" x14ac:dyDescent="0.35">
      <c r="A70" s="261">
        <v>42541</v>
      </c>
      <c r="B70" s="262">
        <v>1440</v>
      </c>
      <c r="C70" s="252" t="s">
        <v>221</v>
      </c>
      <c r="D70" s="263" t="s">
        <v>222</v>
      </c>
      <c r="E70" s="264">
        <v>483.37</v>
      </c>
      <c r="F70" s="270"/>
      <c r="G70" s="264"/>
      <c r="H70" s="264">
        <v>438.82</v>
      </c>
      <c r="I70" s="264">
        <v>44.55</v>
      </c>
      <c r="J70" s="264"/>
      <c r="K70" s="266">
        <f t="shared" si="2"/>
        <v>483.37</v>
      </c>
      <c r="L70" s="264"/>
      <c r="M70" s="264"/>
      <c r="N70" s="264"/>
      <c r="O70" s="264"/>
      <c r="P70" s="265"/>
      <c r="Q70" s="265"/>
      <c r="R70" s="264"/>
      <c r="S70" s="264"/>
      <c r="T70" s="264"/>
      <c r="U70" s="266">
        <f t="shared" si="0"/>
        <v>0</v>
      </c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>
        <f t="shared" si="1"/>
        <v>0</v>
      </c>
      <c r="AM70" s="255"/>
      <c r="AN70" s="255"/>
    </row>
    <row r="71" spans="1:40" x14ac:dyDescent="0.35">
      <c r="A71" s="261">
        <v>42542</v>
      </c>
      <c r="B71" s="262">
        <v>1441</v>
      </c>
      <c r="C71" s="263" t="s">
        <v>299</v>
      </c>
      <c r="D71" s="263" t="s">
        <v>284</v>
      </c>
      <c r="E71" s="264">
        <v>1200</v>
      </c>
      <c r="F71" s="270">
        <v>200</v>
      </c>
      <c r="G71" s="264"/>
      <c r="H71" s="264"/>
      <c r="I71" s="264"/>
      <c r="J71" s="264"/>
      <c r="K71" s="266">
        <f t="shared" si="2"/>
        <v>0</v>
      </c>
      <c r="L71" s="264"/>
      <c r="M71" s="264"/>
      <c r="N71" s="264"/>
      <c r="O71" s="264"/>
      <c r="P71" s="265"/>
      <c r="Q71" s="265"/>
      <c r="R71" s="264"/>
      <c r="S71" s="264"/>
      <c r="T71" s="264"/>
      <c r="U71" s="266">
        <f t="shared" si="0"/>
        <v>0</v>
      </c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>
        <v>1000</v>
      </c>
      <c r="AK71" s="264"/>
      <c r="AL71" s="264">
        <f t="shared" si="1"/>
        <v>0</v>
      </c>
      <c r="AM71" s="255"/>
      <c r="AN71" s="255"/>
    </row>
    <row r="72" spans="1:40" x14ac:dyDescent="0.35">
      <c r="A72" s="261">
        <v>42544</v>
      </c>
      <c r="B72" s="262">
        <v>1444</v>
      </c>
      <c r="C72" s="252" t="s">
        <v>300</v>
      </c>
      <c r="D72" s="263" t="s">
        <v>285</v>
      </c>
      <c r="E72" s="264">
        <v>900</v>
      </c>
      <c r="F72" s="269">
        <v>150</v>
      </c>
      <c r="G72" s="264"/>
      <c r="H72" s="264"/>
      <c r="I72" s="264"/>
      <c r="J72" s="264"/>
      <c r="K72" s="266">
        <f t="shared" si="2"/>
        <v>0</v>
      </c>
      <c r="L72" s="264"/>
      <c r="M72" s="264"/>
      <c r="N72" s="264"/>
      <c r="O72" s="264"/>
      <c r="P72" s="265"/>
      <c r="Q72" s="265">
        <v>750</v>
      </c>
      <c r="R72" s="264"/>
      <c r="S72" s="264"/>
      <c r="T72" s="264"/>
      <c r="U72" s="266">
        <f t="shared" ref="U72:U135" si="3">+L72+M72+O72+P72+Q72+S72+T72</f>
        <v>750</v>
      </c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>
        <f t="shared" ref="AL72:AL135" si="4">SUM(G72:AK72)+F72-E72-U72-K72</f>
        <v>0</v>
      </c>
      <c r="AM72" s="255"/>
      <c r="AN72" s="255"/>
    </row>
    <row r="73" spans="1:40" x14ac:dyDescent="0.35">
      <c r="A73" s="261">
        <v>42544</v>
      </c>
      <c r="B73" s="262">
        <v>1445</v>
      </c>
      <c r="C73" s="252" t="s">
        <v>219</v>
      </c>
      <c r="D73" s="263" t="s">
        <v>286</v>
      </c>
      <c r="E73" s="264">
        <v>38.380000000000003</v>
      </c>
      <c r="F73" s="269">
        <v>6.4</v>
      </c>
      <c r="G73" s="264"/>
      <c r="H73" s="264"/>
      <c r="I73" s="264"/>
      <c r="J73" s="264"/>
      <c r="K73" s="266">
        <f t="shared" si="2"/>
        <v>0</v>
      </c>
      <c r="L73" s="264"/>
      <c r="M73" s="264"/>
      <c r="N73" s="264"/>
      <c r="O73" s="264"/>
      <c r="P73" s="265"/>
      <c r="Q73" s="265">
        <v>31.98</v>
      </c>
      <c r="R73" s="264"/>
      <c r="S73" s="264"/>
      <c r="T73" s="264"/>
      <c r="U73" s="266">
        <f t="shared" si="3"/>
        <v>31.98</v>
      </c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>
        <f t="shared" si="4"/>
        <v>-3.5527136788005009E-15</v>
      </c>
      <c r="AM73" s="255"/>
      <c r="AN73" s="255"/>
    </row>
    <row r="74" spans="1:40" x14ac:dyDescent="0.35">
      <c r="A74" s="261">
        <v>42548</v>
      </c>
      <c r="B74" s="262">
        <v>1442</v>
      </c>
      <c r="C74" s="252" t="s">
        <v>301</v>
      </c>
      <c r="D74" s="263" t="s">
        <v>287</v>
      </c>
      <c r="E74" s="264">
        <v>1300</v>
      </c>
      <c r="F74" s="269"/>
      <c r="G74" s="264"/>
      <c r="H74" s="264"/>
      <c r="I74" s="264"/>
      <c r="J74" s="264"/>
      <c r="K74" s="266">
        <f t="shared" si="2"/>
        <v>0</v>
      </c>
      <c r="L74" s="264"/>
      <c r="M74" s="264"/>
      <c r="N74" s="264"/>
      <c r="O74" s="264"/>
      <c r="P74" s="265"/>
      <c r="Q74" s="265"/>
      <c r="R74" s="264"/>
      <c r="S74" s="264"/>
      <c r="T74" s="264"/>
      <c r="U74" s="266">
        <f t="shared" si="3"/>
        <v>0</v>
      </c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>
        <v>1300</v>
      </c>
      <c r="AK74" s="264"/>
      <c r="AL74" s="264">
        <f t="shared" si="4"/>
        <v>0</v>
      </c>
      <c r="AM74" s="255"/>
      <c r="AN74" s="255"/>
    </row>
    <row r="75" spans="1:40" x14ac:dyDescent="0.35">
      <c r="A75" s="261">
        <v>42549</v>
      </c>
      <c r="B75" s="262">
        <v>1446</v>
      </c>
      <c r="C75" s="252" t="s">
        <v>236</v>
      </c>
      <c r="D75" s="263" t="s">
        <v>288</v>
      </c>
      <c r="E75" s="264">
        <v>200</v>
      </c>
      <c r="F75" s="269"/>
      <c r="G75" s="264"/>
      <c r="H75" s="264"/>
      <c r="I75" s="264"/>
      <c r="J75" s="264"/>
      <c r="K75" s="266">
        <f t="shared" si="2"/>
        <v>0</v>
      </c>
      <c r="L75" s="264">
        <v>200</v>
      </c>
      <c r="M75" s="264"/>
      <c r="N75" s="264"/>
      <c r="O75" s="264"/>
      <c r="P75" s="265"/>
      <c r="Q75" s="265"/>
      <c r="R75" s="264"/>
      <c r="S75" s="264"/>
      <c r="T75" s="264"/>
      <c r="U75" s="266">
        <f t="shared" si="3"/>
        <v>200</v>
      </c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>
        <f t="shared" si="4"/>
        <v>0</v>
      </c>
      <c r="AM75" s="255"/>
      <c r="AN75" s="255"/>
    </row>
    <row r="76" spans="1:40" x14ac:dyDescent="0.35">
      <c r="A76" s="261">
        <v>42549</v>
      </c>
      <c r="B76" s="262" t="s">
        <v>304</v>
      </c>
      <c r="C76" s="252" t="s">
        <v>221</v>
      </c>
      <c r="D76" s="252" t="s">
        <v>289</v>
      </c>
      <c r="E76" s="264">
        <v>-0.06</v>
      </c>
      <c r="F76" s="269"/>
      <c r="G76" s="264"/>
      <c r="H76" s="264">
        <v>-0.06</v>
      </c>
      <c r="I76" s="264"/>
      <c r="J76" s="264"/>
      <c r="K76" s="266">
        <f t="shared" si="2"/>
        <v>-0.06</v>
      </c>
      <c r="L76" s="264"/>
      <c r="M76" s="264"/>
      <c r="N76" s="264"/>
      <c r="O76" s="264"/>
      <c r="P76" s="265"/>
      <c r="Q76" s="265"/>
      <c r="R76" s="264"/>
      <c r="S76" s="264"/>
      <c r="T76" s="264"/>
      <c r="U76" s="266">
        <f t="shared" si="3"/>
        <v>0</v>
      </c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>
        <f t="shared" si="4"/>
        <v>0</v>
      </c>
      <c r="AM76" s="255"/>
      <c r="AN76" s="255"/>
    </row>
    <row r="77" spans="1:40" x14ac:dyDescent="0.35">
      <c r="A77" s="261">
        <v>42551</v>
      </c>
      <c r="B77" s="262" t="s">
        <v>157</v>
      </c>
      <c r="C77" s="252" t="s">
        <v>302</v>
      </c>
      <c r="D77" s="252" t="s">
        <v>290</v>
      </c>
      <c r="E77" s="264">
        <v>1000</v>
      </c>
      <c r="F77" s="269">
        <v>166.67</v>
      </c>
      <c r="G77" s="264"/>
      <c r="H77" s="264"/>
      <c r="I77" s="264"/>
      <c r="J77" s="264"/>
      <c r="K77" s="266">
        <f t="shared" si="2"/>
        <v>0</v>
      </c>
      <c r="L77" s="264"/>
      <c r="M77" s="264"/>
      <c r="N77" s="264"/>
      <c r="O77" s="264"/>
      <c r="P77" s="265"/>
      <c r="Q77" s="265"/>
      <c r="R77" s="264"/>
      <c r="S77" s="264"/>
      <c r="T77" s="264"/>
      <c r="U77" s="266">
        <f t="shared" si="3"/>
        <v>0</v>
      </c>
      <c r="V77" s="264"/>
      <c r="W77" s="264"/>
      <c r="X77" s="264"/>
      <c r="Y77" s="264"/>
      <c r="Z77" s="264">
        <v>833.33</v>
      </c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>
        <f t="shared" si="4"/>
        <v>0</v>
      </c>
      <c r="AM77" s="255"/>
      <c r="AN77" s="255"/>
    </row>
    <row r="78" spans="1:40" x14ac:dyDescent="0.35">
      <c r="A78" s="261">
        <v>42552</v>
      </c>
      <c r="B78" s="262">
        <v>1447</v>
      </c>
      <c r="C78" s="252" t="s">
        <v>317</v>
      </c>
      <c r="D78" s="263" t="s">
        <v>318</v>
      </c>
      <c r="E78" s="269">
        <v>1877.5</v>
      </c>
      <c r="F78" s="269">
        <v>312.92</v>
      </c>
      <c r="G78" s="264"/>
      <c r="H78" s="264"/>
      <c r="I78" s="264"/>
      <c r="J78" s="264"/>
      <c r="K78" s="266">
        <f t="shared" si="2"/>
        <v>0</v>
      </c>
      <c r="L78" s="264"/>
      <c r="M78" s="264"/>
      <c r="N78" s="264"/>
      <c r="O78" s="264"/>
      <c r="P78" s="265"/>
      <c r="Q78" s="265"/>
      <c r="R78" s="264"/>
      <c r="S78" s="264"/>
      <c r="T78" s="264"/>
      <c r="U78" s="266">
        <f t="shared" si="3"/>
        <v>0</v>
      </c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>
        <v>1564.58</v>
      </c>
      <c r="AH78" s="264"/>
      <c r="AI78" s="264"/>
      <c r="AJ78" s="264"/>
      <c r="AK78" s="264"/>
      <c r="AL78" s="264">
        <f t="shared" si="4"/>
        <v>0</v>
      </c>
      <c r="AM78" s="255"/>
      <c r="AN78" s="255"/>
    </row>
    <row r="79" spans="1:40" x14ac:dyDescent="0.35">
      <c r="A79" s="261">
        <v>42552</v>
      </c>
      <c r="B79" s="262">
        <v>1448</v>
      </c>
      <c r="C79" s="263" t="s">
        <v>319</v>
      </c>
      <c r="D79" s="263" t="s">
        <v>320</v>
      </c>
      <c r="E79" s="270">
        <v>264</v>
      </c>
      <c r="F79" s="270">
        <v>44</v>
      </c>
      <c r="G79" s="264"/>
      <c r="H79" s="264"/>
      <c r="I79" s="264"/>
      <c r="J79" s="264"/>
      <c r="K79" s="266">
        <f t="shared" si="2"/>
        <v>0</v>
      </c>
      <c r="L79" s="264"/>
      <c r="M79" s="264"/>
      <c r="N79" s="264"/>
      <c r="O79" s="264"/>
      <c r="P79" s="265"/>
      <c r="Q79" s="265"/>
      <c r="R79" s="264"/>
      <c r="S79" s="264"/>
      <c r="T79" s="264"/>
      <c r="U79" s="266">
        <f t="shared" si="3"/>
        <v>0</v>
      </c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>
        <v>220</v>
      </c>
      <c r="AK79" s="264"/>
      <c r="AL79" s="264">
        <f t="shared" si="4"/>
        <v>0</v>
      </c>
      <c r="AM79" s="255"/>
      <c r="AN79" s="255"/>
    </row>
    <row r="80" spans="1:40" x14ac:dyDescent="0.35">
      <c r="A80" s="261">
        <v>42552</v>
      </c>
      <c r="B80" s="262">
        <v>1449</v>
      </c>
      <c r="C80" s="263" t="s">
        <v>197</v>
      </c>
      <c r="D80" s="263" t="s">
        <v>269</v>
      </c>
      <c r="E80" s="270">
        <v>5.99</v>
      </c>
      <c r="F80" s="270">
        <v>1</v>
      </c>
      <c r="G80" s="264"/>
      <c r="H80" s="264"/>
      <c r="I80" s="264"/>
      <c r="J80" s="264"/>
      <c r="K80" s="266">
        <f t="shared" si="2"/>
        <v>0</v>
      </c>
      <c r="L80" s="264"/>
      <c r="M80" s="264"/>
      <c r="N80" s="264"/>
      <c r="O80" s="264"/>
      <c r="P80" s="265">
        <v>4.99</v>
      </c>
      <c r="Q80" s="265"/>
      <c r="R80" s="264"/>
      <c r="S80" s="264"/>
      <c r="T80" s="264"/>
      <c r="U80" s="266">
        <f t="shared" si="3"/>
        <v>4.99</v>
      </c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>
        <f t="shared" si="4"/>
        <v>0</v>
      </c>
      <c r="AM80" s="255"/>
      <c r="AN80" s="255"/>
    </row>
    <row r="81" spans="1:40" x14ac:dyDescent="0.35">
      <c r="A81" s="261">
        <v>42552</v>
      </c>
      <c r="B81" s="262">
        <v>1450</v>
      </c>
      <c r="C81" s="263" t="s">
        <v>244</v>
      </c>
      <c r="D81" s="263" t="s">
        <v>321</v>
      </c>
      <c r="E81" s="270">
        <v>22.1</v>
      </c>
      <c r="F81" s="270">
        <v>3.68</v>
      </c>
      <c r="G81" s="264"/>
      <c r="H81" s="264"/>
      <c r="I81" s="264"/>
      <c r="J81" s="264"/>
      <c r="K81" s="266">
        <f t="shared" si="2"/>
        <v>0</v>
      </c>
      <c r="L81" s="264"/>
      <c r="M81" s="264"/>
      <c r="N81" s="264"/>
      <c r="O81" s="264"/>
      <c r="P81" s="265"/>
      <c r="Q81" s="265">
        <v>18.420000000000002</v>
      </c>
      <c r="R81" s="264"/>
      <c r="S81" s="264"/>
      <c r="T81" s="264"/>
      <c r="U81" s="266">
        <f t="shared" si="3"/>
        <v>18.420000000000002</v>
      </c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>
        <f t="shared" si="4"/>
        <v>0</v>
      </c>
      <c r="AM81" s="255"/>
      <c r="AN81" s="255"/>
    </row>
    <row r="82" spans="1:40" x14ac:dyDescent="0.35">
      <c r="A82" s="261">
        <v>42552</v>
      </c>
      <c r="B82" s="262">
        <v>1451</v>
      </c>
      <c r="C82" s="263" t="s">
        <v>219</v>
      </c>
      <c r="D82" s="263" t="s">
        <v>322</v>
      </c>
      <c r="E82" s="270">
        <v>79.14</v>
      </c>
      <c r="F82" s="270">
        <v>13.19</v>
      </c>
      <c r="G82" s="264"/>
      <c r="H82" s="264"/>
      <c r="I82" s="264"/>
      <c r="J82" s="264"/>
      <c r="K82" s="266">
        <f t="shared" si="2"/>
        <v>0</v>
      </c>
      <c r="L82" s="264"/>
      <c r="M82" s="264"/>
      <c r="N82" s="264"/>
      <c r="O82" s="264"/>
      <c r="P82" s="265"/>
      <c r="Q82" s="265">
        <v>65.95</v>
      </c>
      <c r="R82" s="264"/>
      <c r="S82" s="264"/>
      <c r="T82" s="264"/>
      <c r="U82" s="266">
        <f t="shared" si="3"/>
        <v>65.95</v>
      </c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>
        <f t="shared" si="4"/>
        <v>0</v>
      </c>
      <c r="AM82" s="255"/>
      <c r="AN82" s="255"/>
    </row>
    <row r="83" spans="1:40" x14ac:dyDescent="0.35">
      <c r="A83" s="261">
        <v>42552</v>
      </c>
      <c r="B83" s="262">
        <v>1452</v>
      </c>
      <c r="C83" s="252" t="s">
        <v>167</v>
      </c>
      <c r="D83" s="263" t="s">
        <v>323</v>
      </c>
      <c r="E83" s="264">
        <v>80</v>
      </c>
      <c r="F83" s="270"/>
      <c r="G83" s="264"/>
      <c r="H83" s="264"/>
      <c r="I83" s="264"/>
      <c r="J83" s="264"/>
      <c r="K83" s="266">
        <f t="shared" si="2"/>
        <v>0</v>
      </c>
      <c r="L83" s="264"/>
      <c r="M83" s="264">
        <v>80</v>
      </c>
      <c r="N83" s="264"/>
      <c r="O83" s="264"/>
      <c r="P83" s="265"/>
      <c r="Q83" s="265"/>
      <c r="R83" s="264"/>
      <c r="S83" s="264"/>
      <c r="T83" s="264"/>
      <c r="U83" s="266">
        <f t="shared" si="3"/>
        <v>80</v>
      </c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>
        <f t="shared" si="4"/>
        <v>0</v>
      </c>
      <c r="AM83" s="255"/>
      <c r="AN83" s="255"/>
    </row>
    <row r="84" spans="1:40" x14ac:dyDescent="0.35">
      <c r="A84" s="261">
        <v>42557</v>
      </c>
      <c r="B84" s="262" t="s">
        <v>157</v>
      </c>
      <c r="C84" s="263" t="s">
        <v>248</v>
      </c>
      <c r="D84" s="263" t="str">
        <f>[3]Expenditure!$D$8</f>
        <v>01606 854451, phoneline and internet</v>
      </c>
      <c r="E84" s="264">
        <v>41.76</v>
      </c>
      <c r="F84" s="270">
        <v>6.96</v>
      </c>
      <c r="G84" s="264"/>
      <c r="H84" s="264"/>
      <c r="I84" s="264"/>
      <c r="J84" s="264"/>
      <c r="K84" s="266">
        <f t="shared" si="2"/>
        <v>0</v>
      </c>
      <c r="L84" s="264"/>
      <c r="M84" s="264"/>
      <c r="N84" s="264"/>
      <c r="O84" s="264"/>
      <c r="P84" s="265">
        <v>34.799999999999997</v>
      </c>
      <c r="Q84" s="265"/>
      <c r="R84" s="264"/>
      <c r="S84" s="264"/>
      <c r="T84" s="264"/>
      <c r="U84" s="266">
        <f t="shared" si="3"/>
        <v>34.799999999999997</v>
      </c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>
        <f t="shared" si="4"/>
        <v>-7.1054273576010019E-15</v>
      </c>
      <c r="AM84" s="255"/>
      <c r="AN84" s="255"/>
    </row>
    <row r="85" spans="1:40" x14ac:dyDescent="0.35">
      <c r="A85" s="261">
        <v>42558</v>
      </c>
      <c r="B85" s="262" t="s">
        <v>157</v>
      </c>
      <c r="C85" s="263" t="s">
        <v>199</v>
      </c>
      <c r="D85" s="263" t="s">
        <v>335</v>
      </c>
      <c r="E85" s="264">
        <v>8</v>
      </c>
      <c r="F85" s="270"/>
      <c r="G85" s="264"/>
      <c r="H85" s="264"/>
      <c r="I85" s="264"/>
      <c r="J85" s="264"/>
      <c r="K85" s="266">
        <f t="shared" si="2"/>
        <v>0</v>
      </c>
      <c r="L85" s="264">
        <v>8</v>
      </c>
      <c r="M85" s="264"/>
      <c r="N85" s="264"/>
      <c r="O85" s="264"/>
      <c r="P85" s="265"/>
      <c r="Q85" s="265"/>
      <c r="R85" s="264"/>
      <c r="S85" s="264"/>
      <c r="T85" s="264"/>
      <c r="U85" s="266">
        <f t="shared" si="3"/>
        <v>8</v>
      </c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>
        <f t="shared" si="4"/>
        <v>0</v>
      </c>
      <c r="AM85" s="255"/>
      <c r="AN85" s="255"/>
    </row>
    <row r="86" spans="1:40" x14ac:dyDescent="0.35">
      <c r="A86" s="261">
        <v>42565</v>
      </c>
      <c r="B86" s="262" t="s">
        <v>157</v>
      </c>
      <c r="C86" s="252" t="s">
        <v>296</v>
      </c>
      <c r="D86" s="263" t="s">
        <v>277</v>
      </c>
      <c r="E86" s="264">
        <v>5</v>
      </c>
      <c r="F86" s="270">
        <v>0.83</v>
      </c>
      <c r="G86" s="264"/>
      <c r="H86" s="264"/>
      <c r="I86" s="264"/>
      <c r="J86" s="264"/>
      <c r="K86" s="266">
        <f t="shared" si="2"/>
        <v>0</v>
      </c>
      <c r="L86" s="264"/>
      <c r="M86" s="264"/>
      <c r="N86" s="264"/>
      <c r="O86" s="264"/>
      <c r="P86" s="265">
        <v>4.17</v>
      </c>
      <c r="Q86" s="265"/>
      <c r="R86" s="264"/>
      <c r="S86" s="264"/>
      <c r="T86" s="264"/>
      <c r="U86" s="266">
        <f t="shared" si="3"/>
        <v>4.17</v>
      </c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>
        <f t="shared" si="4"/>
        <v>0</v>
      </c>
      <c r="AM86" s="255"/>
      <c r="AN86" s="255"/>
    </row>
    <row r="87" spans="1:40" x14ac:dyDescent="0.35">
      <c r="A87" s="261">
        <v>42569</v>
      </c>
      <c r="B87" s="262">
        <v>1453</v>
      </c>
      <c r="C87" s="263" t="s">
        <v>324</v>
      </c>
      <c r="D87" s="263" t="s">
        <v>325</v>
      </c>
      <c r="E87" s="267">
        <v>275</v>
      </c>
      <c r="F87" s="270"/>
      <c r="G87" s="264"/>
      <c r="H87" s="264"/>
      <c r="I87" s="264"/>
      <c r="J87" s="264"/>
      <c r="K87" s="266">
        <f t="shared" si="2"/>
        <v>0</v>
      </c>
      <c r="L87" s="264"/>
      <c r="M87" s="264">
        <v>275</v>
      </c>
      <c r="N87" s="264"/>
      <c r="O87" s="264"/>
      <c r="P87" s="265"/>
      <c r="Q87" s="265"/>
      <c r="R87" s="264"/>
      <c r="S87" s="264"/>
      <c r="T87" s="264"/>
      <c r="U87" s="266">
        <f t="shared" si="3"/>
        <v>275</v>
      </c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>
        <f t="shared" si="4"/>
        <v>0</v>
      </c>
      <c r="AM87" s="255"/>
      <c r="AN87" s="255"/>
    </row>
    <row r="88" spans="1:40" x14ac:dyDescent="0.35">
      <c r="A88" s="261">
        <v>42569</v>
      </c>
      <c r="B88" s="262">
        <v>1454</v>
      </c>
      <c r="C88" s="263" t="s">
        <v>237</v>
      </c>
      <c r="D88" s="263" t="s">
        <v>326</v>
      </c>
      <c r="E88" s="267">
        <v>1191.5999999999999</v>
      </c>
      <c r="F88" s="270">
        <v>198.6</v>
      </c>
      <c r="G88" s="264"/>
      <c r="H88" s="264"/>
      <c r="I88" s="264"/>
      <c r="J88" s="264"/>
      <c r="K88" s="266">
        <f t="shared" si="2"/>
        <v>0</v>
      </c>
      <c r="L88" s="264"/>
      <c r="M88" s="264"/>
      <c r="N88" s="264"/>
      <c r="O88" s="264"/>
      <c r="P88" s="265"/>
      <c r="Q88" s="265"/>
      <c r="R88" s="264"/>
      <c r="S88" s="264"/>
      <c r="T88" s="264"/>
      <c r="U88" s="266">
        <f t="shared" si="3"/>
        <v>0</v>
      </c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>
        <v>993</v>
      </c>
      <c r="AK88" s="264"/>
      <c r="AL88" s="264">
        <f t="shared" si="4"/>
        <v>0</v>
      </c>
      <c r="AM88" s="255"/>
      <c r="AN88" s="255"/>
    </row>
    <row r="89" spans="1:40" x14ac:dyDescent="0.35">
      <c r="A89" s="261">
        <v>42569</v>
      </c>
      <c r="B89" s="262">
        <v>1455</v>
      </c>
      <c r="C89" s="263" t="s">
        <v>327</v>
      </c>
      <c r="D89" s="263" t="s">
        <v>328</v>
      </c>
      <c r="E89" s="267">
        <v>79.08</v>
      </c>
      <c r="F89" s="270">
        <v>13.18</v>
      </c>
      <c r="G89" s="264"/>
      <c r="H89" s="264"/>
      <c r="I89" s="264"/>
      <c r="J89" s="264"/>
      <c r="K89" s="266">
        <f t="shared" si="2"/>
        <v>0</v>
      </c>
      <c r="L89" s="264"/>
      <c r="M89" s="264"/>
      <c r="N89" s="264"/>
      <c r="O89" s="264"/>
      <c r="P89" s="265"/>
      <c r="Q89" s="265"/>
      <c r="R89" s="264"/>
      <c r="S89" s="264"/>
      <c r="T89" s="264"/>
      <c r="U89" s="266">
        <f t="shared" si="3"/>
        <v>0</v>
      </c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>
        <v>65.900000000000006</v>
      </c>
      <c r="AK89" s="264"/>
      <c r="AL89" s="264">
        <f t="shared" si="4"/>
        <v>1.4210854715202004E-14</v>
      </c>
      <c r="AM89" s="255"/>
      <c r="AN89" s="255"/>
    </row>
    <row r="90" spans="1:40" x14ac:dyDescent="0.35">
      <c r="A90" s="261">
        <v>42569</v>
      </c>
      <c r="B90" s="262">
        <v>1456</v>
      </c>
      <c r="C90" s="263" t="s">
        <v>167</v>
      </c>
      <c r="D90" s="263" t="s">
        <v>329</v>
      </c>
      <c r="E90" s="267">
        <v>48</v>
      </c>
      <c r="F90" s="270"/>
      <c r="G90" s="264"/>
      <c r="H90" s="264"/>
      <c r="I90" s="264"/>
      <c r="J90" s="264"/>
      <c r="K90" s="266">
        <f t="shared" si="2"/>
        <v>0</v>
      </c>
      <c r="L90" s="264"/>
      <c r="M90" s="264">
        <v>48</v>
      </c>
      <c r="N90" s="264"/>
      <c r="O90" s="264"/>
      <c r="P90" s="265"/>
      <c r="Q90" s="265"/>
      <c r="R90" s="264"/>
      <c r="S90" s="264"/>
      <c r="T90" s="264"/>
      <c r="U90" s="266">
        <f t="shared" si="3"/>
        <v>48</v>
      </c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>
        <f t="shared" si="4"/>
        <v>0</v>
      </c>
      <c r="AM90" s="255"/>
      <c r="AN90" s="255"/>
    </row>
    <row r="91" spans="1:40" x14ac:dyDescent="0.35">
      <c r="A91" s="261">
        <v>42204</v>
      </c>
      <c r="B91" s="262">
        <v>1457</v>
      </c>
      <c r="C91" s="252" t="s">
        <v>330</v>
      </c>
      <c r="D91" s="263" t="s">
        <v>331</v>
      </c>
      <c r="E91" s="267">
        <v>100</v>
      </c>
      <c r="F91" s="270"/>
      <c r="G91" s="264"/>
      <c r="H91" s="264"/>
      <c r="I91" s="264"/>
      <c r="J91" s="264"/>
      <c r="K91" s="266">
        <f t="shared" si="2"/>
        <v>0</v>
      </c>
      <c r="L91" s="264">
        <v>100</v>
      </c>
      <c r="M91" s="264"/>
      <c r="N91" s="264"/>
      <c r="O91" s="264"/>
      <c r="P91" s="265"/>
      <c r="Q91" s="265"/>
      <c r="R91" s="264"/>
      <c r="S91" s="264"/>
      <c r="T91" s="264"/>
      <c r="U91" s="266">
        <f t="shared" si="3"/>
        <v>100</v>
      </c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>
        <f t="shared" si="4"/>
        <v>0</v>
      </c>
      <c r="AM91" s="255"/>
      <c r="AN91" s="255"/>
    </row>
    <row r="92" spans="1:40" x14ac:dyDescent="0.35">
      <c r="A92" s="261">
        <v>42576</v>
      </c>
      <c r="B92" s="262">
        <v>1458</v>
      </c>
      <c r="C92" s="263" t="s">
        <v>197</v>
      </c>
      <c r="D92" s="263" t="s">
        <v>332</v>
      </c>
      <c r="E92" s="267">
        <v>550.6</v>
      </c>
      <c r="F92" s="270"/>
      <c r="G92" s="264"/>
      <c r="H92" s="264">
        <v>550.6</v>
      </c>
      <c r="I92" s="264"/>
      <c r="J92" s="264"/>
      <c r="K92" s="266">
        <f t="shared" si="2"/>
        <v>550.6</v>
      </c>
      <c r="L92" s="264"/>
      <c r="M92" s="264"/>
      <c r="N92" s="264"/>
      <c r="O92" s="264"/>
      <c r="P92" s="265"/>
      <c r="Q92" s="265"/>
      <c r="R92" s="264"/>
      <c r="S92" s="264"/>
      <c r="T92" s="264"/>
      <c r="U92" s="266">
        <f t="shared" si="3"/>
        <v>0</v>
      </c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>
        <f t="shared" si="4"/>
        <v>0</v>
      </c>
      <c r="AM92" s="255"/>
      <c r="AN92" s="255"/>
    </row>
    <row r="93" spans="1:40" x14ac:dyDescent="0.35">
      <c r="A93" s="261">
        <v>42576</v>
      </c>
      <c r="B93" s="262">
        <v>1459</v>
      </c>
      <c r="C93" s="263" t="s">
        <v>333</v>
      </c>
      <c r="D93" s="263" t="s">
        <v>222</v>
      </c>
      <c r="E93" s="267">
        <v>470.78</v>
      </c>
      <c r="F93" s="270"/>
      <c r="G93" s="264"/>
      <c r="H93" s="264">
        <v>428.9</v>
      </c>
      <c r="I93" s="264">
        <v>41.88</v>
      </c>
      <c r="J93" s="264"/>
      <c r="K93" s="266">
        <f t="shared" si="2"/>
        <v>470.78</v>
      </c>
      <c r="L93" s="264"/>
      <c r="M93" s="264"/>
      <c r="N93" s="264"/>
      <c r="O93" s="264"/>
      <c r="P93" s="265"/>
      <c r="Q93" s="265"/>
      <c r="R93" s="264"/>
      <c r="S93" s="264"/>
      <c r="T93" s="264"/>
      <c r="U93" s="266">
        <f t="shared" si="3"/>
        <v>0</v>
      </c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>
        <f t="shared" si="4"/>
        <v>0</v>
      </c>
      <c r="AM93" s="255"/>
      <c r="AN93" s="255"/>
    </row>
    <row r="94" spans="1:40" x14ac:dyDescent="0.35">
      <c r="A94" s="261">
        <v>42576</v>
      </c>
      <c r="B94" s="262">
        <v>1459</v>
      </c>
      <c r="C94" s="263" t="s">
        <v>333</v>
      </c>
      <c r="D94" s="263" t="s">
        <v>334</v>
      </c>
      <c r="E94" s="264">
        <v>0.06</v>
      </c>
      <c r="F94" s="270"/>
      <c r="G94" s="264"/>
      <c r="H94" s="264">
        <v>0.06</v>
      </c>
      <c r="I94" s="264"/>
      <c r="J94" s="264"/>
      <c r="K94" s="266">
        <f t="shared" si="2"/>
        <v>0.06</v>
      </c>
      <c r="L94" s="264"/>
      <c r="M94" s="264"/>
      <c r="N94" s="264"/>
      <c r="O94" s="264"/>
      <c r="P94" s="265"/>
      <c r="Q94" s="265"/>
      <c r="R94" s="264"/>
      <c r="S94" s="264"/>
      <c r="T94" s="264"/>
      <c r="U94" s="266">
        <f t="shared" si="3"/>
        <v>0</v>
      </c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>
        <f t="shared" si="4"/>
        <v>0</v>
      </c>
      <c r="AM94" s="255"/>
      <c r="AN94" s="255"/>
    </row>
    <row r="95" spans="1:40" x14ac:dyDescent="0.35">
      <c r="A95" s="261">
        <v>42583</v>
      </c>
      <c r="B95" s="262" t="s">
        <v>157</v>
      </c>
      <c r="C95" s="252" t="s">
        <v>242</v>
      </c>
      <c r="D95" s="252" t="s">
        <v>336</v>
      </c>
      <c r="E95" s="269">
        <v>1000</v>
      </c>
      <c r="F95" s="270">
        <v>166.66</v>
      </c>
      <c r="G95" s="264"/>
      <c r="H95" s="264"/>
      <c r="I95" s="264"/>
      <c r="J95" s="264"/>
      <c r="K95" s="266">
        <f t="shared" si="2"/>
        <v>0</v>
      </c>
      <c r="L95" s="264"/>
      <c r="M95" s="264"/>
      <c r="N95" s="264"/>
      <c r="O95" s="264"/>
      <c r="P95" s="265"/>
      <c r="Q95" s="265"/>
      <c r="R95" s="264"/>
      <c r="S95" s="264"/>
      <c r="T95" s="264"/>
      <c r="U95" s="266">
        <f t="shared" si="3"/>
        <v>0</v>
      </c>
      <c r="V95" s="264"/>
      <c r="W95" s="264"/>
      <c r="X95" s="264"/>
      <c r="Y95" s="264"/>
      <c r="Z95" s="264">
        <v>833.34</v>
      </c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>
        <f t="shared" si="4"/>
        <v>0</v>
      </c>
      <c r="AM95" s="255"/>
      <c r="AN95" s="255"/>
    </row>
    <row r="96" spans="1:40" x14ac:dyDescent="0.35">
      <c r="A96" s="261">
        <v>42583</v>
      </c>
      <c r="B96" s="262">
        <v>1459</v>
      </c>
      <c r="C96" s="263" t="s">
        <v>221</v>
      </c>
      <c r="D96" s="252" t="s">
        <v>337</v>
      </c>
      <c r="E96" s="270">
        <v>-60</v>
      </c>
      <c r="F96" s="270"/>
      <c r="G96" s="264"/>
      <c r="H96" s="264">
        <v>-60</v>
      </c>
      <c r="I96" s="264"/>
      <c r="J96" s="264"/>
      <c r="K96" s="266">
        <f t="shared" si="2"/>
        <v>-60</v>
      </c>
      <c r="L96" s="264"/>
      <c r="M96" s="264"/>
      <c r="N96" s="264"/>
      <c r="O96" s="264"/>
      <c r="P96" s="265"/>
      <c r="Q96" s="265"/>
      <c r="R96" s="264"/>
      <c r="S96" s="264"/>
      <c r="T96" s="264"/>
      <c r="U96" s="266">
        <f t="shared" si="3"/>
        <v>0</v>
      </c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>
        <f t="shared" si="4"/>
        <v>0</v>
      </c>
      <c r="AM96" s="255"/>
      <c r="AN96" s="255"/>
    </row>
    <row r="97" spans="1:40" x14ac:dyDescent="0.35">
      <c r="A97" s="261">
        <v>42583</v>
      </c>
      <c r="B97" s="262">
        <v>1460</v>
      </c>
      <c r="C97" s="263" t="s">
        <v>197</v>
      </c>
      <c r="D97" s="263" t="s">
        <v>269</v>
      </c>
      <c r="E97" s="270">
        <v>5.99</v>
      </c>
      <c r="F97" s="270">
        <v>1</v>
      </c>
      <c r="G97" s="264"/>
      <c r="H97" s="264"/>
      <c r="I97" s="264"/>
      <c r="J97" s="264"/>
      <c r="K97" s="266">
        <f t="shared" si="2"/>
        <v>0</v>
      </c>
      <c r="L97" s="264"/>
      <c r="M97" s="264"/>
      <c r="N97" s="264"/>
      <c r="O97" s="264"/>
      <c r="P97" s="265">
        <v>4.99</v>
      </c>
      <c r="Q97" s="265"/>
      <c r="R97" s="264"/>
      <c r="S97" s="264"/>
      <c r="T97" s="264"/>
      <c r="U97" s="266">
        <f t="shared" si="3"/>
        <v>4.99</v>
      </c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>
        <f t="shared" si="4"/>
        <v>0</v>
      </c>
      <c r="AM97" s="255"/>
      <c r="AN97" s="255"/>
    </row>
    <row r="98" spans="1:40" x14ac:dyDescent="0.35">
      <c r="A98" s="261">
        <v>42583</v>
      </c>
      <c r="B98" s="262">
        <v>1461</v>
      </c>
      <c r="C98" s="263" t="s">
        <v>338</v>
      </c>
      <c r="D98" s="263" t="s">
        <v>339</v>
      </c>
      <c r="E98" s="270">
        <v>360</v>
      </c>
      <c r="F98" s="270">
        <v>60</v>
      </c>
      <c r="G98" s="264"/>
      <c r="H98" s="264"/>
      <c r="I98" s="264"/>
      <c r="J98" s="264"/>
      <c r="K98" s="266">
        <f t="shared" si="2"/>
        <v>0</v>
      </c>
      <c r="L98" s="264"/>
      <c r="M98" s="264"/>
      <c r="N98" s="264"/>
      <c r="O98" s="264"/>
      <c r="P98" s="265"/>
      <c r="Q98" s="265"/>
      <c r="R98" s="264"/>
      <c r="S98" s="264"/>
      <c r="T98" s="264"/>
      <c r="U98" s="266">
        <f t="shared" si="3"/>
        <v>0</v>
      </c>
      <c r="V98" s="264">
        <v>300</v>
      </c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>
        <f t="shared" si="4"/>
        <v>0</v>
      </c>
      <c r="AM98" s="255"/>
      <c r="AN98" s="255"/>
    </row>
    <row r="99" spans="1:40" x14ac:dyDescent="0.35">
      <c r="A99" s="261">
        <v>42583</v>
      </c>
      <c r="B99" s="262">
        <v>1462</v>
      </c>
      <c r="C99" s="263" t="s">
        <v>340</v>
      </c>
      <c r="D99" s="263" t="s">
        <v>341</v>
      </c>
      <c r="E99" s="270">
        <v>1877.5</v>
      </c>
      <c r="F99" s="270">
        <v>312.92</v>
      </c>
      <c r="G99" s="264"/>
      <c r="H99" s="264"/>
      <c r="I99" s="264"/>
      <c r="J99" s="264"/>
      <c r="K99" s="266">
        <f t="shared" si="2"/>
        <v>0</v>
      </c>
      <c r="L99" s="264"/>
      <c r="M99" s="264"/>
      <c r="N99" s="264"/>
      <c r="O99" s="264"/>
      <c r="P99" s="265"/>
      <c r="Q99" s="265"/>
      <c r="R99" s="264"/>
      <c r="S99" s="264"/>
      <c r="T99" s="264"/>
      <c r="U99" s="266">
        <f t="shared" si="3"/>
        <v>0</v>
      </c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>
        <v>1564.58</v>
      </c>
      <c r="AH99" s="264"/>
      <c r="AI99" s="264"/>
      <c r="AJ99" s="264"/>
      <c r="AK99" s="264"/>
      <c r="AL99" s="264">
        <f t="shared" si="4"/>
        <v>0</v>
      </c>
      <c r="AM99" s="255"/>
      <c r="AN99" s="255"/>
    </row>
    <row r="100" spans="1:40" x14ac:dyDescent="0.35">
      <c r="A100" s="261">
        <v>42585</v>
      </c>
      <c r="B100" s="262" t="s">
        <v>157</v>
      </c>
      <c r="C100" s="263" t="s">
        <v>248</v>
      </c>
      <c r="D100" s="263" t="str">
        <f>[3]Expenditure!$D$8</f>
        <v>01606 854451, phoneline and internet</v>
      </c>
      <c r="E100" s="264">
        <v>42.35</v>
      </c>
      <c r="F100" s="270">
        <v>7.06</v>
      </c>
      <c r="G100" s="264"/>
      <c r="H100" s="264"/>
      <c r="I100" s="264"/>
      <c r="J100" s="264"/>
      <c r="K100" s="266">
        <f t="shared" si="2"/>
        <v>0</v>
      </c>
      <c r="L100" s="264"/>
      <c r="M100" s="264"/>
      <c r="N100" s="264"/>
      <c r="O100" s="264"/>
      <c r="P100" s="265">
        <v>35.29</v>
      </c>
      <c r="Q100" s="265"/>
      <c r="R100" s="264"/>
      <c r="S100" s="264"/>
      <c r="T100" s="264"/>
      <c r="U100" s="266">
        <f t="shared" si="3"/>
        <v>35.29</v>
      </c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>
        <f t="shared" si="4"/>
        <v>0</v>
      </c>
      <c r="AM100" s="255"/>
      <c r="AN100" s="255"/>
    </row>
    <row r="101" spans="1:40" x14ac:dyDescent="0.35">
      <c r="A101" s="261">
        <v>42590</v>
      </c>
      <c r="B101" s="262" t="s">
        <v>157</v>
      </c>
      <c r="C101" s="263" t="s">
        <v>199</v>
      </c>
      <c r="D101" s="263" t="s">
        <v>200</v>
      </c>
      <c r="E101" s="264">
        <v>8</v>
      </c>
      <c r="F101" s="270"/>
      <c r="G101" s="264"/>
      <c r="H101" s="264"/>
      <c r="I101" s="264"/>
      <c r="J101" s="264"/>
      <c r="K101" s="266">
        <f t="shared" si="2"/>
        <v>0</v>
      </c>
      <c r="L101" s="264">
        <v>8</v>
      </c>
      <c r="M101" s="264"/>
      <c r="N101" s="264"/>
      <c r="O101" s="264"/>
      <c r="P101" s="265"/>
      <c r="Q101" s="265"/>
      <c r="R101" s="264"/>
      <c r="S101" s="264"/>
      <c r="T101" s="264"/>
      <c r="U101" s="266">
        <f t="shared" si="3"/>
        <v>8</v>
      </c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>
        <f t="shared" si="4"/>
        <v>0</v>
      </c>
      <c r="AM101" s="255"/>
      <c r="AN101" s="255"/>
    </row>
    <row r="102" spans="1:40" x14ac:dyDescent="0.35">
      <c r="A102" s="261">
        <v>42591</v>
      </c>
      <c r="B102" s="262">
        <v>1463</v>
      </c>
      <c r="C102" s="263" t="s">
        <v>340</v>
      </c>
      <c r="D102" s="263" t="s">
        <v>342</v>
      </c>
      <c r="E102" s="264">
        <v>84</v>
      </c>
      <c r="F102" s="270">
        <v>14</v>
      </c>
      <c r="G102" s="264"/>
      <c r="H102" s="264"/>
      <c r="I102" s="264"/>
      <c r="J102" s="264"/>
      <c r="K102" s="266">
        <f t="shared" si="2"/>
        <v>0</v>
      </c>
      <c r="L102" s="264"/>
      <c r="M102" s="264"/>
      <c r="N102" s="264"/>
      <c r="O102" s="264"/>
      <c r="P102" s="265"/>
      <c r="Q102" s="265"/>
      <c r="R102" s="264"/>
      <c r="S102" s="264"/>
      <c r="T102" s="264"/>
      <c r="U102" s="266">
        <f t="shared" si="3"/>
        <v>0</v>
      </c>
      <c r="V102" s="264"/>
      <c r="W102" s="264"/>
      <c r="X102" s="264"/>
      <c r="Y102" s="264"/>
      <c r="Z102" s="264"/>
      <c r="AA102" s="264"/>
      <c r="AB102" s="264"/>
      <c r="AC102" s="264"/>
      <c r="AD102" s="264">
        <v>70</v>
      </c>
      <c r="AE102" s="264"/>
      <c r="AF102" s="264"/>
      <c r="AG102" s="264"/>
      <c r="AH102" s="264"/>
      <c r="AI102" s="264"/>
      <c r="AJ102" s="264"/>
      <c r="AK102" s="264"/>
      <c r="AL102" s="264">
        <f t="shared" si="4"/>
        <v>0</v>
      </c>
      <c r="AM102" s="255"/>
      <c r="AN102" s="255"/>
    </row>
    <row r="103" spans="1:40" x14ac:dyDescent="0.35">
      <c r="A103" s="261">
        <v>42597</v>
      </c>
      <c r="B103" s="262" t="s">
        <v>157</v>
      </c>
      <c r="C103" s="252" t="s">
        <v>296</v>
      </c>
      <c r="D103" s="263" t="s">
        <v>277</v>
      </c>
      <c r="E103" s="264">
        <v>5</v>
      </c>
      <c r="F103" s="270">
        <v>0.83</v>
      </c>
      <c r="G103" s="264"/>
      <c r="H103" s="264"/>
      <c r="I103" s="264"/>
      <c r="J103" s="264"/>
      <c r="K103" s="266">
        <f t="shared" si="2"/>
        <v>0</v>
      </c>
      <c r="L103" s="264"/>
      <c r="M103" s="264"/>
      <c r="N103" s="264"/>
      <c r="O103" s="264"/>
      <c r="P103" s="265">
        <v>4.17</v>
      </c>
      <c r="Q103" s="265"/>
      <c r="R103" s="264"/>
      <c r="S103" s="264"/>
      <c r="T103" s="264"/>
      <c r="U103" s="266">
        <f t="shared" si="3"/>
        <v>4.17</v>
      </c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>
        <f t="shared" si="4"/>
        <v>0</v>
      </c>
      <c r="AM103" s="255"/>
      <c r="AN103" s="255"/>
    </row>
    <row r="104" spans="1:40" x14ac:dyDescent="0.35">
      <c r="A104" s="261">
        <v>42604</v>
      </c>
      <c r="B104" s="262">
        <v>1564</v>
      </c>
      <c r="C104" s="263" t="s">
        <v>197</v>
      </c>
      <c r="D104" s="263" t="s">
        <v>343</v>
      </c>
      <c r="E104" s="267">
        <v>551</v>
      </c>
      <c r="F104" s="270"/>
      <c r="G104" s="264"/>
      <c r="H104" s="264">
        <v>551</v>
      </c>
      <c r="I104" s="264"/>
      <c r="J104" s="264"/>
      <c r="K104" s="266">
        <f t="shared" si="2"/>
        <v>551</v>
      </c>
      <c r="L104" s="264"/>
      <c r="M104" s="264"/>
      <c r="N104" s="264"/>
      <c r="O104" s="264"/>
      <c r="P104" s="265"/>
      <c r="Q104" s="265"/>
      <c r="R104" s="264"/>
      <c r="S104" s="264"/>
      <c r="T104" s="264"/>
      <c r="U104" s="266">
        <f t="shared" si="3"/>
        <v>0</v>
      </c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>
        <f t="shared" si="4"/>
        <v>0</v>
      </c>
      <c r="AM104" s="255"/>
      <c r="AN104" s="255"/>
    </row>
    <row r="105" spans="1:40" x14ac:dyDescent="0.35">
      <c r="A105" s="261">
        <v>42604</v>
      </c>
      <c r="B105" s="262">
        <v>1565</v>
      </c>
      <c r="C105" s="263" t="s">
        <v>344</v>
      </c>
      <c r="D105" s="263" t="s">
        <v>222</v>
      </c>
      <c r="E105" s="267">
        <v>470.38</v>
      </c>
      <c r="F105" s="270"/>
      <c r="G105" s="264"/>
      <c r="H105" s="264">
        <v>428.5</v>
      </c>
      <c r="I105" s="264">
        <v>41.88</v>
      </c>
      <c r="J105" s="264"/>
      <c r="K105" s="266">
        <f t="shared" si="2"/>
        <v>470.38</v>
      </c>
      <c r="L105" s="264"/>
      <c r="M105" s="264"/>
      <c r="N105" s="264"/>
      <c r="O105" s="264"/>
      <c r="P105" s="265"/>
      <c r="Q105" s="265"/>
      <c r="R105" s="264"/>
      <c r="S105" s="264"/>
      <c r="T105" s="264"/>
      <c r="U105" s="266">
        <f t="shared" si="3"/>
        <v>0</v>
      </c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>
        <f t="shared" si="4"/>
        <v>0</v>
      </c>
      <c r="AM105" s="255"/>
      <c r="AN105" s="255"/>
    </row>
    <row r="106" spans="1:40" x14ac:dyDescent="0.35">
      <c r="A106" s="261">
        <v>42604</v>
      </c>
      <c r="B106" s="262">
        <v>1565</v>
      </c>
      <c r="C106" s="263" t="s">
        <v>344</v>
      </c>
      <c r="D106" s="263" t="s">
        <v>345</v>
      </c>
      <c r="E106" s="267">
        <v>60</v>
      </c>
      <c r="F106" s="270"/>
      <c r="G106" s="264"/>
      <c r="H106" s="264">
        <v>60</v>
      </c>
      <c r="I106" s="264"/>
      <c r="J106" s="264"/>
      <c r="K106" s="266">
        <f t="shared" si="2"/>
        <v>60</v>
      </c>
      <c r="L106" s="264"/>
      <c r="M106" s="264"/>
      <c r="N106" s="264"/>
      <c r="O106" s="264"/>
      <c r="P106" s="265"/>
      <c r="Q106" s="265"/>
      <c r="R106" s="264"/>
      <c r="S106" s="264"/>
      <c r="T106" s="264"/>
      <c r="U106" s="266">
        <f t="shared" si="3"/>
        <v>0</v>
      </c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>
        <f t="shared" si="4"/>
        <v>0</v>
      </c>
      <c r="AM106" s="255"/>
      <c r="AN106" s="255"/>
    </row>
    <row r="107" spans="1:40" x14ac:dyDescent="0.35">
      <c r="A107" s="261">
        <v>42604</v>
      </c>
      <c r="B107" s="262">
        <v>1566</v>
      </c>
      <c r="C107" s="263" t="s">
        <v>167</v>
      </c>
      <c r="D107" s="263" t="s">
        <v>346</v>
      </c>
      <c r="E107" s="267">
        <v>48</v>
      </c>
      <c r="F107" s="270"/>
      <c r="G107" s="264"/>
      <c r="H107" s="264"/>
      <c r="I107" s="264"/>
      <c r="J107" s="264"/>
      <c r="K107" s="266">
        <f t="shared" si="2"/>
        <v>0</v>
      </c>
      <c r="L107" s="264"/>
      <c r="M107" s="264">
        <v>48</v>
      </c>
      <c r="N107" s="264"/>
      <c r="O107" s="264"/>
      <c r="P107" s="265"/>
      <c r="Q107" s="265"/>
      <c r="R107" s="264"/>
      <c r="S107" s="264"/>
      <c r="T107" s="264"/>
      <c r="U107" s="266">
        <f t="shared" si="3"/>
        <v>48</v>
      </c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>
        <f t="shared" si="4"/>
        <v>0</v>
      </c>
      <c r="AM107" s="255"/>
      <c r="AN107" s="255"/>
    </row>
    <row r="108" spans="1:40" x14ac:dyDescent="0.35">
      <c r="A108" s="261">
        <v>42613</v>
      </c>
      <c r="B108" s="262" t="s">
        <v>157</v>
      </c>
      <c r="C108" s="252" t="s">
        <v>302</v>
      </c>
      <c r="D108" s="263" t="s">
        <v>347</v>
      </c>
      <c r="E108" s="267">
        <v>1000</v>
      </c>
      <c r="F108" s="270">
        <v>166.66</v>
      </c>
      <c r="G108" s="264"/>
      <c r="H108" s="264"/>
      <c r="I108" s="264"/>
      <c r="J108" s="264"/>
      <c r="K108" s="266">
        <f t="shared" si="2"/>
        <v>0</v>
      </c>
      <c r="L108" s="264"/>
      <c r="M108" s="264"/>
      <c r="N108" s="264"/>
      <c r="O108" s="264"/>
      <c r="P108" s="265"/>
      <c r="Q108" s="265"/>
      <c r="R108" s="264"/>
      <c r="S108" s="264"/>
      <c r="T108" s="264"/>
      <c r="U108" s="266">
        <f t="shared" si="3"/>
        <v>0</v>
      </c>
      <c r="V108" s="264"/>
      <c r="W108" s="264"/>
      <c r="X108" s="264"/>
      <c r="Y108" s="264"/>
      <c r="Z108" s="264">
        <v>833.34</v>
      </c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>
        <f t="shared" si="4"/>
        <v>0</v>
      </c>
      <c r="AM108" s="255"/>
      <c r="AN108" s="255"/>
    </row>
    <row r="109" spans="1:40" x14ac:dyDescent="0.35">
      <c r="A109" s="261">
        <v>42614</v>
      </c>
      <c r="B109" s="263">
        <v>1567</v>
      </c>
      <c r="C109" s="252" t="s">
        <v>197</v>
      </c>
      <c r="D109" s="252" t="s">
        <v>269</v>
      </c>
      <c r="E109" s="269">
        <v>5.99</v>
      </c>
      <c r="F109" s="269">
        <v>1</v>
      </c>
      <c r="G109" s="264"/>
      <c r="H109" s="264"/>
      <c r="I109" s="264"/>
      <c r="J109" s="264"/>
      <c r="K109" s="266">
        <f t="shared" si="2"/>
        <v>0</v>
      </c>
      <c r="L109" s="264"/>
      <c r="M109" s="264"/>
      <c r="N109" s="264"/>
      <c r="O109" s="264"/>
      <c r="P109" s="265">
        <v>4.99</v>
      </c>
      <c r="Q109" s="265"/>
      <c r="R109" s="264"/>
      <c r="S109" s="264"/>
      <c r="T109" s="264"/>
      <c r="U109" s="266">
        <f t="shared" si="3"/>
        <v>4.99</v>
      </c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>
        <f t="shared" si="4"/>
        <v>0</v>
      </c>
      <c r="AM109" s="255"/>
      <c r="AN109" s="255"/>
    </row>
    <row r="110" spans="1:40" x14ac:dyDescent="0.35">
      <c r="A110" s="261">
        <v>42614</v>
      </c>
      <c r="B110" s="263">
        <v>1568</v>
      </c>
      <c r="C110" s="263" t="s">
        <v>348</v>
      </c>
      <c r="D110" s="252" t="s">
        <v>349</v>
      </c>
      <c r="E110" s="270">
        <v>300</v>
      </c>
      <c r="F110" s="270"/>
      <c r="G110" s="264"/>
      <c r="H110" s="264"/>
      <c r="I110" s="264"/>
      <c r="J110" s="264"/>
      <c r="K110" s="266">
        <f t="shared" si="2"/>
        <v>0</v>
      </c>
      <c r="L110" s="264"/>
      <c r="M110" s="264"/>
      <c r="N110" s="264"/>
      <c r="O110" s="264"/>
      <c r="P110" s="265"/>
      <c r="Q110" s="265"/>
      <c r="R110" s="264"/>
      <c r="S110" s="264"/>
      <c r="T110" s="264"/>
      <c r="U110" s="266">
        <f t="shared" si="3"/>
        <v>0</v>
      </c>
      <c r="V110" s="264"/>
      <c r="W110" s="264">
        <v>300</v>
      </c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>
        <f t="shared" si="4"/>
        <v>0</v>
      </c>
      <c r="AM110" s="255"/>
      <c r="AN110" s="255"/>
    </row>
    <row r="111" spans="1:40" x14ac:dyDescent="0.35">
      <c r="A111" s="261">
        <v>42614</v>
      </c>
      <c r="B111" s="263">
        <v>1569</v>
      </c>
      <c r="C111" s="263" t="s">
        <v>237</v>
      </c>
      <c r="D111" s="263" t="s">
        <v>350</v>
      </c>
      <c r="E111" s="270">
        <v>1877.5</v>
      </c>
      <c r="F111" s="270">
        <v>312.92</v>
      </c>
      <c r="G111" s="264"/>
      <c r="H111" s="264"/>
      <c r="I111" s="264"/>
      <c r="J111" s="264"/>
      <c r="K111" s="266">
        <f t="shared" ref="K111:K174" si="5">+H111+I111+J111</f>
        <v>0</v>
      </c>
      <c r="L111" s="264"/>
      <c r="M111" s="264"/>
      <c r="N111" s="264"/>
      <c r="O111" s="264"/>
      <c r="P111" s="265"/>
      <c r="Q111" s="265"/>
      <c r="R111" s="264"/>
      <c r="S111" s="264"/>
      <c r="T111" s="264"/>
      <c r="U111" s="266">
        <f t="shared" si="3"/>
        <v>0</v>
      </c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>
        <v>1564.58</v>
      </c>
      <c r="AH111" s="264"/>
      <c r="AI111" s="264"/>
      <c r="AJ111" s="264"/>
      <c r="AK111" s="264"/>
      <c r="AL111" s="264">
        <f t="shared" si="4"/>
        <v>0</v>
      </c>
      <c r="AM111" s="255"/>
      <c r="AN111" s="255"/>
    </row>
    <row r="112" spans="1:40" x14ac:dyDescent="0.35">
      <c r="A112" s="261">
        <v>42614</v>
      </c>
      <c r="B112" s="263">
        <v>1570</v>
      </c>
      <c r="C112" s="263" t="s">
        <v>351</v>
      </c>
      <c r="D112" s="263" t="s">
        <v>352</v>
      </c>
      <c r="E112" s="270">
        <v>360</v>
      </c>
      <c r="F112" s="270">
        <v>360</v>
      </c>
      <c r="G112" s="264"/>
      <c r="H112" s="264"/>
      <c r="I112" s="264"/>
      <c r="J112" s="264"/>
      <c r="K112" s="266">
        <f t="shared" si="5"/>
        <v>0</v>
      </c>
      <c r="L112" s="264"/>
      <c r="M112" s="264"/>
      <c r="N112" s="264"/>
      <c r="O112" s="264"/>
      <c r="P112" s="265"/>
      <c r="Q112" s="265"/>
      <c r="R112" s="264"/>
      <c r="S112" s="264"/>
      <c r="T112" s="264"/>
      <c r="U112" s="266">
        <f t="shared" si="3"/>
        <v>0</v>
      </c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>
        <f t="shared" si="4"/>
        <v>0</v>
      </c>
      <c r="AM112" s="255"/>
      <c r="AN112" s="255"/>
    </row>
    <row r="113" spans="1:40" x14ac:dyDescent="0.35">
      <c r="A113" s="261">
        <v>42618</v>
      </c>
      <c r="B113" s="263" t="s">
        <v>157</v>
      </c>
      <c r="C113" s="263" t="s">
        <v>248</v>
      </c>
      <c r="D113" s="263" t="s">
        <v>249</v>
      </c>
      <c r="E113" s="270">
        <v>40.909999999999997</v>
      </c>
      <c r="F113" s="270">
        <v>6.82</v>
      </c>
      <c r="G113" s="264"/>
      <c r="H113" s="264"/>
      <c r="I113" s="264"/>
      <c r="J113" s="264"/>
      <c r="K113" s="266">
        <f t="shared" si="5"/>
        <v>0</v>
      </c>
      <c r="L113" s="264"/>
      <c r="M113" s="264"/>
      <c r="N113" s="264"/>
      <c r="O113" s="264"/>
      <c r="P113" s="265">
        <v>34.090000000000003</v>
      </c>
      <c r="Q113" s="265"/>
      <c r="R113" s="264"/>
      <c r="S113" s="264"/>
      <c r="T113" s="264"/>
      <c r="U113" s="266">
        <f t="shared" si="3"/>
        <v>34.090000000000003</v>
      </c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>
        <f t="shared" si="4"/>
        <v>0</v>
      </c>
      <c r="AM113" s="255"/>
      <c r="AN113" s="255"/>
    </row>
    <row r="114" spans="1:40" x14ac:dyDescent="0.35">
      <c r="A114" s="261">
        <v>42620</v>
      </c>
      <c r="B114" s="263" t="s">
        <v>157</v>
      </c>
      <c r="C114" s="263" t="s">
        <v>199</v>
      </c>
      <c r="D114" s="263" t="s">
        <v>200</v>
      </c>
      <c r="E114" s="264">
        <v>8</v>
      </c>
      <c r="F114" s="270"/>
      <c r="G114" s="264"/>
      <c r="H114" s="264"/>
      <c r="I114" s="264"/>
      <c r="J114" s="264"/>
      <c r="K114" s="266">
        <f t="shared" si="5"/>
        <v>0</v>
      </c>
      <c r="L114" s="264">
        <v>8</v>
      </c>
      <c r="M114" s="264"/>
      <c r="N114" s="264"/>
      <c r="O114" s="264"/>
      <c r="P114" s="265"/>
      <c r="Q114" s="265"/>
      <c r="R114" s="264"/>
      <c r="S114" s="264"/>
      <c r="T114" s="264"/>
      <c r="U114" s="266">
        <f t="shared" si="3"/>
        <v>8</v>
      </c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>
        <f t="shared" si="4"/>
        <v>0</v>
      </c>
      <c r="AM114" s="255"/>
      <c r="AN114" s="255"/>
    </row>
    <row r="115" spans="1:40" x14ac:dyDescent="0.35">
      <c r="A115" s="261">
        <v>42626</v>
      </c>
      <c r="B115" s="263" t="s">
        <v>157</v>
      </c>
      <c r="C115" s="252" t="s">
        <v>296</v>
      </c>
      <c r="D115" s="263" t="s">
        <v>277</v>
      </c>
      <c r="E115" s="264">
        <v>5</v>
      </c>
      <c r="F115" s="270">
        <v>0.83</v>
      </c>
      <c r="G115" s="264"/>
      <c r="H115" s="264"/>
      <c r="I115" s="264"/>
      <c r="J115" s="264"/>
      <c r="K115" s="266">
        <f t="shared" si="5"/>
        <v>0</v>
      </c>
      <c r="L115" s="264"/>
      <c r="M115" s="264"/>
      <c r="N115" s="264"/>
      <c r="O115" s="264"/>
      <c r="P115" s="265">
        <v>4.17</v>
      </c>
      <c r="Q115" s="265"/>
      <c r="R115" s="264"/>
      <c r="S115" s="264"/>
      <c r="T115" s="264"/>
      <c r="U115" s="266">
        <f t="shared" si="3"/>
        <v>4.17</v>
      </c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>
        <f t="shared" si="4"/>
        <v>0</v>
      </c>
      <c r="AM115" s="255"/>
      <c r="AN115" s="255"/>
    </row>
    <row r="116" spans="1:40" x14ac:dyDescent="0.35">
      <c r="A116" s="261">
        <v>42626</v>
      </c>
      <c r="B116" s="263">
        <v>1571</v>
      </c>
      <c r="C116" s="263" t="s">
        <v>353</v>
      </c>
      <c r="D116" s="263" t="s">
        <v>354</v>
      </c>
      <c r="E116" s="264">
        <v>160</v>
      </c>
      <c r="F116" s="270"/>
      <c r="G116" s="264"/>
      <c r="H116" s="264"/>
      <c r="I116" s="264"/>
      <c r="J116" s="264"/>
      <c r="K116" s="266">
        <f t="shared" si="5"/>
        <v>0</v>
      </c>
      <c r="L116" s="264"/>
      <c r="M116" s="264"/>
      <c r="N116" s="264"/>
      <c r="O116" s="264"/>
      <c r="P116" s="265"/>
      <c r="Q116" s="265"/>
      <c r="R116" s="264"/>
      <c r="S116" s="264"/>
      <c r="T116" s="264"/>
      <c r="U116" s="266">
        <f t="shared" si="3"/>
        <v>0</v>
      </c>
      <c r="V116" s="264"/>
      <c r="W116" s="264"/>
      <c r="X116" s="264">
        <v>160</v>
      </c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>
        <f t="shared" si="4"/>
        <v>0</v>
      </c>
      <c r="AM116" s="255"/>
      <c r="AN116" s="255"/>
    </row>
    <row r="117" spans="1:40" x14ac:dyDescent="0.35">
      <c r="A117" s="261">
        <v>42626</v>
      </c>
      <c r="B117" s="263">
        <v>1572</v>
      </c>
      <c r="C117" s="252" t="s">
        <v>167</v>
      </c>
      <c r="D117" s="263" t="s">
        <v>355</v>
      </c>
      <c r="E117" s="264">
        <v>48</v>
      </c>
      <c r="F117" s="270"/>
      <c r="G117" s="264"/>
      <c r="H117" s="264"/>
      <c r="I117" s="264"/>
      <c r="J117" s="264"/>
      <c r="K117" s="266">
        <f t="shared" si="5"/>
        <v>0</v>
      </c>
      <c r="L117" s="264"/>
      <c r="M117" s="264">
        <v>48</v>
      </c>
      <c r="N117" s="264"/>
      <c r="O117" s="264"/>
      <c r="P117" s="265"/>
      <c r="Q117" s="265"/>
      <c r="R117" s="264"/>
      <c r="S117" s="264"/>
      <c r="T117" s="264"/>
      <c r="U117" s="266">
        <f t="shared" si="3"/>
        <v>48</v>
      </c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>
        <f t="shared" si="4"/>
        <v>0</v>
      </c>
      <c r="AM117" s="255"/>
      <c r="AN117" s="255"/>
    </row>
    <row r="118" spans="1:40" x14ac:dyDescent="0.35">
      <c r="A118" s="261">
        <v>42633</v>
      </c>
      <c r="B118" s="263">
        <v>1573</v>
      </c>
      <c r="C118" s="263" t="s">
        <v>197</v>
      </c>
      <c r="D118" s="263" t="s">
        <v>356</v>
      </c>
      <c r="E118" s="267">
        <v>550.6</v>
      </c>
      <c r="F118" s="270"/>
      <c r="G118" s="264"/>
      <c r="H118" s="264">
        <v>550.6</v>
      </c>
      <c r="I118" s="264"/>
      <c r="J118" s="264"/>
      <c r="K118" s="266">
        <f t="shared" si="5"/>
        <v>550.6</v>
      </c>
      <c r="L118" s="264"/>
      <c r="M118" s="264"/>
      <c r="N118" s="264"/>
      <c r="O118" s="264"/>
      <c r="P118" s="265"/>
      <c r="Q118" s="265"/>
      <c r="R118" s="264"/>
      <c r="S118" s="264"/>
      <c r="T118" s="264"/>
      <c r="U118" s="266">
        <f t="shared" si="3"/>
        <v>0</v>
      </c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>
        <f t="shared" si="4"/>
        <v>0</v>
      </c>
      <c r="AM118" s="255"/>
      <c r="AN118" s="255"/>
    </row>
    <row r="119" spans="1:40" x14ac:dyDescent="0.35">
      <c r="A119" s="261">
        <v>42633</v>
      </c>
      <c r="B119" s="263">
        <v>1574</v>
      </c>
      <c r="C119" s="263" t="s">
        <v>344</v>
      </c>
      <c r="D119" s="263" t="s">
        <v>222</v>
      </c>
      <c r="E119" s="267">
        <v>470.78</v>
      </c>
      <c r="F119" s="270"/>
      <c r="G119" s="264"/>
      <c r="H119" s="264">
        <v>428.9</v>
      </c>
      <c r="I119" s="264">
        <v>41.88</v>
      </c>
      <c r="J119" s="264"/>
      <c r="K119" s="266">
        <f t="shared" si="5"/>
        <v>470.78</v>
      </c>
      <c r="L119" s="264"/>
      <c r="M119" s="264"/>
      <c r="N119" s="264"/>
      <c r="O119" s="264"/>
      <c r="P119" s="265"/>
      <c r="Q119" s="265"/>
      <c r="R119" s="264"/>
      <c r="S119" s="264"/>
      <c r="T119" s="264"/>
      <c r="U119" s="266">
        <f t="shared" si="3"/>
        <v>0</v>
      </c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>
        <f t="shared" si="4"/>
        <v>0</v>
      </c>
      <c r="AM119" s="255"/>
      <c r="AN119" s="255"/>
    </row>
    <row r="120" spans="1:40" x14ac:dyDescent="0.35">
      <c r="A120" s="261">
        <v>42642</v>
      </c>
      <c r="B120" s="263">
        <v>1575</v>
      </c>
      <c r="C120" s="263" t="s">
        <v>219</v>
      </c>
      <c r="D120" s="263" t="s">
        <v>357</v>
      </c>
      <c r="E120" s="267">
        <v>23.96</v>
      </c>
      <c r="F120" s="270">
        <v>3.99</v>
      </c>
      <c r="G120" s="264"/>
      <c r="H120" s="264"/>
      <c r="I120" s="264"/>
      <c r="J120" s="264"/>
      <c r="K120" s="266">
        <f t="shared" si="5"/>
        <v>0</v>
      </c>
      <c r="L120" s="264"/>
      <c r="M120" s="264"/>
      <c r="N120" s="264"/>
      <c r="O120" s="264"/>
      <c r="P120" s="265"/>
      <c r="Q120" s="265">
        <v>19.97</v>
      </c>
      <c r="R120" s="264"/>
      <c r="S120" s="264"/>
      <c r="T120" s="264"/>
      <c r="U120" s="266">
        <f t="shared" si="3"/>
        <v>19.97</v>
      </c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>
        <f t="shared" si="4"/>
        <v>0</v>
      </c>
      <c r="AM120" s="255"/>
      <c r="AN120" s="255"/>
    </row>
    <row r="121" spans="1:40" x14ac:dyDescent="0.35">
      <c r="A121" s="261">
        <v>42642</v>
      </c>
      <c r="B121" s="263">
        <v>1576</v>
      </c>
      <c r="C121" s="263" t="s">
        <v>237</v>
      </c>
      <c r="D121" s="263" t="s">
        <v>350</v>
      </c>
      <c r="E121" s="267">
        <v>1877.5</v>
      </c>
      <c r="F121" s="270">
        <v>312.92</v>
      </c>
      <c r="G121" s="264"/>
      <c r="H121" s="264"/>
      <c r="I121" s="264"/>
      <c r="J121" s="264"/>
      <c r="K121" s="266">
        <f t="shared" si="5"/>
        <v>0</v>
      </c>
      <c r="L121" s="264"/>
      <c r="M121" s="264"/>
      <c r="N121" s="264"/>
      <c r="O121" s="264"/>
      <c r="P121" s="265"/>
      <c r="Q121" s="265"/>
      <c r="R121" s="264"/>
      <c r="S121" s="264"/>
      <c r="T121" s="264"/>
      <c r="U121" s="266">
        <f t="shared" si="3"/>
        <v>0</v>
      </c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>
        <v>1564.58</v>
      </c>
      <c r="AH121" s="264"/>
      <c r="AI121" s="264"/>
      <c r="AJ121" s="264"/>
      <c r="AK121" s="264"/>
      <c r="AL121" s="264">
        <f t="shared" si="4"/>
        <v>0</v>
      </c>
      <c r="AM121" s="255"/>
      <c r="AN121" s="255"/>
    </row>
    <row r="122" spans="1:40" x14ac:dyDescent="0.35">
      <c r="A122" s="261">
        <v>42642</v>
      </c>
      <c r="B122" s="263">
        <v>1577</v>
      </c>
      <c r="C122" s="252" t="s">
        <v>358</v>
      </c>
      <c r="D122" s="263" t="s">
        <v>359</v>
      </c>
      <c r="E122" s="267">
        <v>9.99</v>
      </c>
      <c r="F122" s="270"/>
      <c r="G122" s="264"/>
      <c r="H122" s="264"/>
      <c r="I122" s="264"/>
      <c r="J122" s="264"/>
      <c r="K122" s="266">
        <f t="shared" si="5"/>
        <v>0</v>
      </c>
      <c r="L122" s="264"/>
      <c r="M122" s="264"/>
      <c r="N122" s="264"/>
      <c r="O122" s="264"/>
      <c r="P122" s="265"/>
      <c r="Q122" s="265"/>
      <c r="R122" s="264"/>
      <c r="S122" s="264"/>
      <c r="T122" s="264"/>
      <c r="U122" s="266">
        <f t="shared" si="3"/>
        <v>0</v>
      </c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>
        <v>9.99</v>
      </c>
      <c r="AK122" s="264"/>
      <c r="AL122" s="264">
        <f t="shared" si="4"/>
        <v>0</v>
      </c>
      <c r="AM122" s="255"/>
      <c r="AN122" s="255"/>
    </row>
    <row r="123" spans="1:40" x14ac:dyDescent="0.35">
      <c r="A123" s="261">
        <v>42643</v>
      </c>
      <c r="B123" s="263" t="s">
        <v>157</v>
      </c>
      <c r="C123" s="263" t="s">
        <v>302</v>
      </c>
      <c r="D123" s="263" t="s">
        <v>360</v>
      </c>
      <c r="E123" s="267">
        <v>1000</v>
      </c>
      <c r="F123" s="270">
        <v>166.67</v>
      </c>
      <c r="G123" s="264"/>
      <c r="H123" s="264"/>
      <c r="I123" s="264"/>
      <c r="J123" s="264"/>
      <c r="K123" s="266">
        <f t="shared" si="5"/>
        <v>0</v>
      </c>
      <c r="L123" s="264"/>
      <c r="M123" s="264"/>
      <c r="N123" s="264"/>
      <c r="O123" s="264"/>
      <c r="P123" s="265"/>
      <c r="Q123" s="265"/>
      <c r="R123" s="264"/>
      <c r="S123" s="264"/>
      <c r="T123" s="264"/>
      <c r="U123" s="266">
        <f t="shared" si="3"/>
        <v>0</v>
      </c>
      <c r="V123" s="264"/>
      <c r="W123" s="264"/>
      <c r="X123" s="264"/>
      <c r="Y123" s="264"/>
      <c r="Z123" s="264">
        <v>833.33</v>
      </c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>
        <f t="shared" si="4"/>
        <v>0</v>
      </c>
      <c r="AM123" s="255"/>
      <c r="AN123" s="255"/>
    </row>
    <row r="124" spans="1:40" x14ac:dyDescent="0.35">
      <c r="A124" s="261">
        <v>42647</v>
      </c>
      <c r="B124" s="262" t="s">
        <v>157</v>
      </c>
      <c r="C124" s="252" t="s">
        <v>248</v>
      </c>
      <c r="D124" s="252" t="s">
        <v>249</v>
      </c>
      <c r="E124" s="269">
        <v>41.7</v>
      </c>
      <c r="F124" s="270">
        <v>6.95</v>
      </c>
      <c r="G124" s="264"/>
      <c r="H124" s="264"/>
      <c r="I124" s="264"/>
      <c r="J124" s="264"/>
      <c r="K124" s="266">
        <f t="shared" si="5"/>
        <v>0</v>
      </c>
      <c r="L124" s="264"/>
      <c r="M124" s="264"/>
      <c r="N124" s="264"/>
      <c r="O124" s="264"/>
      <c r="P124" s="265">
        <v>34.75</v>
      </c>
      <c r="Q124" s="265"/>
      <c r="R124" s="264"/>
      <c r="S124" s="264"/>
      <c r="T124" s="264"/>
      <c r="U124" s="266">
        <f t="shared" si="3"/>
        <v>34.75</v>
      </c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>
        <f t="shared" si="4"/>
        <v>0</v>
      </c>
      <c r="AM124" s="255"/>
      <c r="AN124" s="255"/>
    </row>
    <row r="125" spans="1:40" x14ac:dyDescent="0.35">
      <c r="A125" s="261">
        <v>42647</v>
      </c>
      <c r="B125" s="262">
        <v>1578</v>
      </c>
      <c r="C125" s="252" t="s">
        <v>197</v>
      </c>
      <c r="D125" s="252" t="s">
        <v>269</v>
      </c>
      <c r="E125" s="269">
        <v>5.99</v>
      </c>
      <c r="F125" s="270">
        <v>1</v>
      </c>
      <c r="G125" s="264"/>
      <c r="H125" s="264"/>
      <c r="I125" s="264"/>
      <c r="J125" s="264"/>
      <c r="K125" s="266">
        <f t="shared" si="5"/>
        <v>0</v>
      </c>
      <c r="L125" s="264"/>
      <c r="M125" s="264"/>
      <c r="N125" s="264"/>
      <c r="O125" s="264"/>
      <c r="P125" s="265">
        <v>4.99</v>
      </c>
      <c r="Q125" s="265"/>
      <c r="R125" s="264"/>
      <c r="S125" s="264"/>
      <c r="T125" s="264"/>
      <c r="U125" s="266">
        <f t="shared" si="3"/>
        <v>4.99</v>
      </c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>
        <f t="shared" si="4"/>
        <v>0</v>
      </c>
      <c r="AM125" s="255"/>
      <c r="AN125" s="255"/>
    </row>
    <row r="126" spans="1:40" x14ac:dyDescent="0.35">
      <c r="A126" s="261">
        <v>42650</v>
      </c>
      <c r="B126" s="262" t="s">
        <v>157</v>
      </c>
      <c r="C126" s="271" t="s">
        <v>199</v>
      </c>
      <c r="D126" s="271" t="s">
        <v>200</v>
      </c>
      <c r="E126" s="269">
        <v>8</v>
      </c>
      <c r="F126" s="270"/>
      <c r="G126" s="264"/>
      <c r="H126" s="264"/>
      <c r="I126" s="264"/>
      <c r="J126" s="264"/>
      <c r="K126" s="266">
        <f t="shared" si="5"/>
        <v>0</v>
      </c>
      <c r="L126" s="264">
        <v>8</v>
      </c>
      <c r="M126" s="264"/>
      <c r="N126" s="264"/>
      <c r="O126" s="264"/>
      <c r="P126" s="265"/>
      <c r="Q126" s="265"/>
      <c r="R126" s="264"/>
      <c r="S126" s="264"/>
      <c r="T126" s="264"/>
      <c r="U126" s="266">
        <f t="shared" si="3"/>
        <v>8</v>
      </c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>
        <f t="shared" si="4"/>
        <v>0</v>
      </c>
      <c r="AM126" s="255"/>
      <c r="AN126" s="255"/>
    </row>
    <row r="127" spans="1:40" x14ac:dyDescent="0.35">
      <c r="A127" s="261">
        <v>42656</v>
      </c>
      <c r="B127" s="262" t="s">
        <v>157</v>
      </c>
      <c r="C127" s="252" t="s">
        <v>296</v>
      </c>
      <c r="D127" s="263" t="s">
        <v>277</v>
      </c>
      <c r="E127" s="269">
        <v>5</v>
      </c>
      <c r="F127" s="270">
        <v>0.83</v>
      </c>
      <c r="G127" s="264"/>
      <c r="H127" s="264"/>
      <c r="I127" s="264"/>
      <c r="J127" s="264"/>
      <c r="K127" s="266">
        <f t="shared" si="5"/>
        <v>0</v>
      </c>
      <c r="L127" s="264"/>
      <c r="M127" s="264"/>
      <c r="N127" s="264"/>
      <c r="O127" s="264"/>
      <c r="P127" s="265">
        <v>4.17</v>
      </c>
      <c r="Q127" s="265"/>
      <c r="R127" s="264"/>
      <c r="S127" s="264"/>
      <c r="T127" s="264"/>
      <c r="U127" s="266">
        <f t="shared" si="3"/>
        <v>4.17</v>
      </c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>
        <f t="shared" si="4"/>
        <v>0</v>
      </c>
      <c r="AM127" s="255"/>
      <c r="AN127" s="255"/>
    </row>
    <row r="128" spans="1:40" x14ac:dyDescent="0.35">
      <c r="A128" s="261">
        <v>42656</v>
      </c>
      <c r="B128" s="262">
        <v>1579</v>
      </c>
      <c r="C128" s="263" t="s">
        <v>365</v>
      </c>
      <c r="D128" s="263" t="s">
        <v>366</v>
      </c>
      <c r="E128" s="269">
        <v>48</v>
      </c>
      <c r="F128" s="270"/>
      <c r="G128" s="264"/>
      <c r="H128" s="264"/>
      <c r="I128" s="264"/>
      <c r="J128" s="264"/>
      <c r="K128" s="266">
        <f t="shared" si="5"/>
        <v>0</v>
      </c>
      <c r="L128" s="264"/>
      <c r="M128" s="264">
        <v>48</v>
      </c>
      <c r="N128" s="264"/>
      <c r="O128" s="264"/>
      <c r="P128" s="265"/>
      <c r="Q128" s="265"/>
      <c r="R128" s="264"/>
      <c r="S128" s="264"/>
      <c r="T128" s="264"/>
      <c r="U128" s="266">
        <f t="shared" si="3"/>
        <v>48</v>
      </c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>
        <f t="shared" si="4"/>
        <v>0</v>
      </c>
      <c r="AM128" s="255"/>
      <c r="AN128" s="255"/>
    </row>
    <row r="129" spans="1:40" x14ac:dyDescent="0.35">
      <c r="A129" s="261">
        <v>42660</v>
      </c>
      <c r="B129" s="262">
        <v>1580</v>
      </c>
      <c r="C129" s="263" t="s">
        <v>365</v>
      </c>
      <c r="D129" s="263" t="s">
        <v>367</v>
      </c>
      <c r="E129" s="269">
        <v>5200</v>
      </c>
      <c r="F129" s="270"/>
      <c r="G129" s="264"/>
      <c r="H129" s="264"/>
      <c r="I129" s="264"/>
      <c r="J129" s="264"/>
      <c r="K129" s="266">
        <f t="shared" si="5"/>
        <v>0</v>
      </c>
      <c r="L129" s="264"/>
      <c r="M129" s="264"/>
      <c r="N129" s="264"/>
      <c r="O129" s="264"/>
      <c r="P129" s="265"/>
      <c r="Q129" s="265"/>
      <c r="R129" s="264"/>
      <c r="S129" s="264"/>
      <c r="T129" s="264"/>
      <c r="U129" s="266">
        <f t="shared" si="3"/>
        <v>0</v>
      </c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>
        <v>5200</v>
      </c>
      <c r="AK129" s="264"/>
      <c r="AL129" s="264">
        <f t="shared" si="4"/>
        <v>0</v>
      </c>
      <c r="AM129" s="255"/>
      <c r="AN129" s="255"/>
    </row>
    <row r="130" spans="1:40" x14ac:dyDescent="0.35">
      <c r="A130" s="261">
        <v>42668</v>
      </c>
      <c r="B130" s="262">
        <v>1581</v>
      </c>
      <c r="C130" s="252" t="s">
        <v>197</v>
      </c>
      <c r="D130" s="263" t="s">
        <v>368</v>
      </c>
      <c r="E130" s="269">
        <v>551</v>
      </c>
      <c r="F130" s="270"/>
      <c r="G130" s="264"/>
      <c r="H130" s="264">
        <v>551</v>
      </c>
      <c r="I130" s="264"/>
      <c r="J130" s="264"/>
      <c r="K130" s="266">
        <f t="shared" si="5"/>
        <v>551</v>
      </c>
      <c r="L130" s="264"/>
      <c r="M130" s="264"/>
      <c r="N130" s="264"/>
      <c r="O130" s="264"/>
      <c r="P130" s="265"/>
      <c r="Q130" s="265"/>
      <c r="R130" s="264"/>
      <c r="S130" s="264"/>
      <c r="T130" s="264"/>
      <c r="U130" s="266">
        <f t="shared" si="3"/>
        <v>0</v>
      </c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>
        <f t="shared" si="4"/>
        <v>0</v>
      </c>
      <c r="AM130" s="255"/>
      <c r="AN130" s="255"/>
    </row>
    <row r="131" spans="1:40" x14ac:dyDescent="0.35">
      <c r="A131" s="261">
        <v>42668</v>
      </c>
      <c r="B131" s="262">
        <v>1582</v>
      </c>
      <c r="C131" s="263" t="s">
        <v>344</v>
      </c>
      <c r="D131" s="263" t="s">
        <v>222</v>
      </c>
      <c r="E131" s="269">
        <v>470.38</v>
      </c>
      <c r="F131" s="270"/>
      <c r="G131" s="264"/>
      <c r="H131" s="264">
        <v>428.5</v>
      </c>
      <c r="I131" s="264">
        <v>41.88</v>
      </c>
      <c r="J131" s="264"/>
      <c r="K131" s="266">
        <f t="shared" si="5"/>
        <v>470.38</v>
      </c>
      <c r="L131" s="264"/>
      <c r="M131" s="264"/>
      <c r="N131" s="264"/>
      <c r="O131" s="264"/>
      <c r="P131" s="265"/>
      <c r="Q131" s="265"/>
      <c r="R131" s="264"/>
      <c r="S131" s="264"/>
      <c r="T131" s="264"/>
      <c r="U131" s="266">
        <f t="shared" si="3"/>
        <v>0</v>
      </c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>
        <f t="shared" si="4"/>
        <v>0</v>
      </c>
      <c r="AM131" s="255"/>
      <c r="AN131" s="255"/>
    </row>
    <row r="132" spans="1:40" x14ac:dyDescent="0.35">
      <c r="A132" s="261">
        <v>42668</v>
      </c>
      <c r="B132" s="262">
        <v>1583</v>
      </c>
      <c r="C132" s="252" t="s">
        <v>197</v>
      </c>
      <c r="D132" s="263" t="s">
        <v>369</v>
      </c>
      <c r="E132" s="269">
        <v>15.1</v>
      </c>
      <c r="F132" s="270"/>
      <c r="G132" s="264"/>
      <c r="H132" s="264"/>
      <c r="I132" s="264"/>
      <c r="J132" s="264">
        <v>15.1</v>
      </c>
      <c r="K132" s="266">
        <f t="shared" si="5"/>
        <v>15.1</v>
      </c>
      <c r="L132" s="264"/>
      <c r="M132" s="264"/>
      <c r="N132" s="264"/>
      <c r="O132" s="264"/>
      <c r="P132" s="265"/>
      <c r="Q132" s="265"/>
      <c r="R132" s="264"/>
      <c r="S132" s="264"/>
      <c r="T132" s="264"/>
      <c r="U132" s="266">
        <f t="shared" si="3"/>
        <v>0</v>
      </c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>
        <f t="shared" si="4"/>
        <v>0</v>
      </c>
      <c r="AM132" s="255"/>
      <c r="AN132" s="255"/>
    </row>
    <row r="133" spans="1:40" x14ac:dyDescent="0.35">
      <c r="A133" s="261">
        <v>42674</v>
      </c>
      <c r="B133" s="262" t="s">
        <v>157</v>
      </c>
      <c r="C133" s="252" t="s">
        <v>302</v>
      </c>
      <c r="D133" s="263" t="s">
        <v>370</v>
      </c>
      <c r="E133" s="269">
        <v>1000</v>
      </c>
      <c r="F133" s="270">
        <v>166.67</v>
      </c>
      <c r="G133" s="264"/>
      <c r="H133" s="264"/>
      <c r="I133" s="264"/>
      <c r="J133" s="264"/>
      <c r="K133" s="266">
        <f t="shared" si="5"/>
        <v>0</v>
      </c>
      <c r="L133" s="264"/>
      <c r="M133" s="264"/>
      <c r="N133" s="264"/>
      <c r="O133" s="264"/>
      <c r="P133" s="265"/>
      <c r="Q133" s="265"/>
      <c r="R133" s="264"/>
      <c r="S133" s="264"/>
      <c r="T133" s="264"/>
      <c r="U133" s="266">
        <f t="shared" si="3"/>
        <v>0</v>
      </c>
      <c r="V133" s="264"/>
      <c r="W133" s="264"/>
      <c r="X133" s="264"/>
      <c r="Y133" s="264"/>
      <c r="Z133" s="264">
        <v>833.33</v>
      </c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>
        <f t="shared" si="4"/>
        <v>0</v>
      </c>
      <c r="AM133" s="255"/>
      <c r="AN133" s="255"/>
    </row>
    <row r="134" spans="1:40" x14ac:dyDescent="0.35">
      <c r="A134" s="261">
        <v>42681</v>
      </c>
      <c r="B134" s="262" t="s">
        <v>157</v>
      </c>
      <c r="C134" s="252" t="s">
        <v>248</v>
      </c>
      <c r="D134" s="252" t="s">
        <v>249</v>
      </c>
      <c r="E134" s="269">
        <v>42.67</v>
      </c>
      <c r="F134" s="272">
        <v>7.11</v>
      </c>
      <c r="G134" s="264"/>
      <c r="H134" s="264"/>
      <c r="I134" s="264"/>
      <c r="J134" s="264"/>
      <c r="K134" s="266">
        <f t="shared" si="5"/>
        <v>0</v>
      </c>
      <c r="L134" s="264"/>
      <c r="M134" s="264"/>
      <c r="N134" s="264"/>
      <c r="O134" s="264"/>
      <c r="P134" s="265">
        <v>35.56</v>
      </c>
      <c r="Q134" s="265"/>
      <c r="R134" s="264"/>
      <c r="S134" s="264"/>
      <c r="T134" s="264"/>
      <c r="U134" s="266">
        <f t="shared" si="3"/>
        <v>35.56</v>
      </c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>
        <f t="shared" si="4"/>
        <v>0</v>
      </c>
      <c r="AM134" s="255"/>
      <c r="AN134" s="255"/>
    </row>
    <row r="135" spans="1:40" x14ac:dyDescent="0.35">
      <c r="A135" s="261">
        <v>42681</v>
      </c>
      <c r="B135" s="262" t="s">
        <v>157</v>
      </c>
      <c r="C135" s="271" t="s">
        <v>199</v>
      </c>
      <c r="D135" s="271" t="s">
        <v>200</v>
      </c>
      <c r="E135" s="269">
        <v>8</v>
      </c>
      <c r="F135" s="266"/>
      <c r="G135" s="264"/>
      <c r="H135" s="264"/>
      <c r="I135" s="264"/>
      <c r="J135" s="264"/>
      <c r="K135" s="266">
        <f t="shared" si="5"/>
        <v>0</v>
      </c>
      <c r="L135" s="264">
        <v>8</v>
      </c>
      <c r="M135" s="264"/>
      <c r="N135" s="264"/>
      <c r="O135" s="264"/>
      <c r="P135" s="265"/>
      <c r="Q135" s="265"/>
      <c r="R135" s="264"/>
      <c r="S135" s="264"/>
      <c r="T135" s="264"/>
      <c r="U135" s="266">
        <f t="shared" si="3"/>
        <v>8</v>
      </c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>
        <f t="shared" si="4"/>
        <v>0</v>
      </c>
      <c r="AM135" s="255"/>
      <c r="AN135" s="255"/>
    </row>
    <row r="136" spans="1:40" x14ac:dyDescent="0.35">
      <c r="A136" s="261">
        <v>42681</v>
      </c>
      <c r="B136" s="262">
        <v>1584</v>
      </c>
      <c r="C136" s="271" t="s">
        <v>374</v>
      </c>
      <c r="D136" s="271" t="s">
        <v>383</v>
      </c>
      <c r="E136" s="269">
        <v>299.04000000000002</v>
      </c>
      <c r="F136" s="266">
        <v>49.84</v>
      </c>
      <c r="G136" s="264"/>
      <c r="H136" s="264"/>
      <c r="I136" s="264"/>
      <c r="J136" s="264"/>
      <c r="K136" s="266">
        <f t="shared" si="5"/>
        <v>0</v>
      </c>
      <c r="L136" s="264"/>
      <c r="M136" s="264"/>
      <c r="N136" s="264"/>
      <c r="O136" s="264"/>
      <c r="P136" s="265"/>
      <c r="Q136" s="265"/>
      <c r="R136" s="264"/>
      <c r="S136" s="264"/>
      <c r="T136" s="264"/>
      <c r="U136" s="266">
        <f t="shared" ref="U136:U174" si="6">+L136+M136+O136+P136+Q136+S136+T136</f>
        <v>0</v>
      </c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>
        <v>249.2</v>
      </c>
      <c r="AK136" s="264"/>
      <c r="AL136" s="264">
        <f t="shared" ref="AL136:AL199" si="7">SUM(G136:AK136)+F136-E136-U136-K136</f>
        <v>-5.6843418860808015E-14</v>
      </c>
      <c r="AM136" s="255"/>
      <c r="AN136" s="255"/>
    </row>
    <row r="137" spans="1:40" x14ac:dyDescent="0.35">
      <c r="A137" s="261">
        <v>42681</v>
      </c>
      <c r="B137" s="262">
        <v>1585</v>
      </c>
      <c r="C137" s="252" t="s">
        <v>375</v>
      </c>
      <c r="D137" s="263" t="s">
        <v>384</v>
      </c>
      <c r="E137" s="269">
        <v>2010</v>
      </c>
      <c r="F137" s="266">
        <v>335</v>
      </c>
      <c r="G137" s="264"/>
      <c r="H137" s="264"/>
      <c r="I137" s="264"/>
      <c r="J137" s="264"/>
      <c r="K137" s="266">
        <f t="shared" si="5"/>
        <v>0</v>
      </c>
      <c r="L137" s="264"/>
      <c r="M137" s="264"/>
      <c r="N137" s="264"/>
      <c r="O137" s="264"/>
      <c r="P137" s="265"/>
      <c r="Q137" s="265"/>
      <c r="R137" s="264"/>
      <c r="S137" s="264"/>
      <c r="T137" s="264"/>
      <c r="U137" s="266">
        <f t="shared" si="6"/>
        <v>0</v>
      </c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>
        <v>1675</v>
      </c>
      <c r="AK137" s="264"/>
      <c r="AL137" s="264">
        <f t="shared" si="7"/>
        <v>0</v>
      </c>
      <c r="AM137" s="255"/>
      <c r="AN137" s="255"/>
    </row>
    <row r="138" spans="1:40" x14ac:dyDescent="0.35">
      <c r="A138" s="261">
        <v>42681</v>
      </c>
      <c r="B138" s="262">
        <v>1586</v>
      </c>
      <c r="C138" s="263" t="s">
        <v>376</v>
      </c>
      <c r="D138" s="263" t="s">
        <v>385</v>
      </c>
      <c r="E138" s="269">
        <v>638.23</v>
      </c>
      <c r="F138" s="266">
        <v>106.36</v>
      </c>
      <c r="G138" s="264"/>
      <c r="H138" s="264"/>
      <c r="I138" s="264"/>
      <c r="J138" s="264"/>
      <c r="K138" s="266">
        <f t="shared" si="5"/>
        <v>0</v>
      </c>
      <c r="L138" s="264"/>
      <c r="M138" s="264"/>
      <c r="N138" s="264"/>
      <c r="O138" s="264"/>
      <c r="P138" s="265"/>
      <c r="Q138" s="265"/>
      <c r="R138" s="264"/>
      <c r="S138" s="264"/>
      <c r="T138" s="264"/>
      <c r="U138" s="266">
        <f t="shared" si="6"/>
        <v>0</v>
      </c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>
        <v>531.87</v>
      </c>
      <c r="AK138" s="264"/>
      <c r="AL138" s="264">
        <f t="shared" si="7"/>
        <v>0</v>
      </c>
      <c r="AM138" s="255"/>
      <c r="AN138" s="255"/>
    </row>
    <row r="139" spans="1:40" x14ac:dyDescent="0.35">
      <c r="A139" s="261">
        <v>42681</v>
      </c>
      <c r="B139" s="262">
        <v>1587</v>
      </c>
      <c r="C139" s="263" t="s">
        <v>201</v>
      </c>
      <c r="D139" s="263" t="s">
        <v>386</v>
      </c>
      <c r="E139" s="269">
        <v>28.31</v>
      </c>
      <c r="F139" s="266">
        <v>4.72</v>
      </c>
      <c r="G139" s="264"/>
      <c r="H139" s="264"/>
      <c r="I139" s="264"/>
      <c r="J139" s="264"/>
      <c r="K139" s="266">
        <f t="shared" si="5"/>
        <v>0</v>
      </c>
      <c r="L139" s="264"/>
      <c r="M139" s="264"/>
      <c r="N139" s="264"/>
      <c r="O139" s="264"/>
      <c r="P139" s="265"/>
      <c r="Q139" s="265"/>
      <c r="R139" s="264"/>
      <c r="S139" s="264"/>
      <c r="T139" s="264"/>
      <c r="U139" s="266">
        <f t="shared" si="6"/>
        <v>0</v>
      </c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>
        <v>23.59</v>
      </c>
      <c r="AK139" s="264"/>
      <c r="AL139" s="264">
        <f t="shared" si="7"/>
        <v>0</v>
      </c>
      <c r="AM139" s="255"/>
      <c r="AN139" s="255"/>
    </row>
    <row r="140" spans="1:40" x14ac:dyDescent="0.35">
      <c r="A140" s="261">
        <v>42681</v>
      </c>
      <c r="B140" s="262">
        <v>1588</v>
      </c>
      <c r="C140" s="252" t="s">
        <v>197</v>
      </c>
      <c r="D140" s="252" t="s">
        <v>387</v>
      </c>
      <c r="E140" s="269">
        <v>5.99</v>
      </c>
      <c r="F140" s="266">
        <v>1</v>
      </c>
      <c r="G140" s="264"/>
      <c r="H140" s="264"/>
      <c r="I140" s="264"/>
      <c r="J140" s="264"/>
      <c r="K140" s="266">
        <f t="shared" si="5"/>
        <v>0</v>
      </c>
      <c r="L140" s="264"/>
      <c r="M140" s="264"/>
      <c r="N140" s="264"/>
      <c r="O140" s="264"/>
      <c r="P140" s="265">
        <v>4.99</v>
      </c>
      <c r="Q140" s="265"/>
      <c r="R140" s="264"/>
      <c r="S140" s="264"/>
      <c r="T140" s="264"/>
      <c r="U140" s="266">
        <f t="shared" si="6"/>
        <v>4.99</v>
      </c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>
        <f t="shared" si="7"/>
        <v>0</v>
      </c>
      <c r="AM140" s="255"/>
      <c r="AN140" s="255"/>
    </row>
    <row r="141" spans="1:40" x14ac:dyDescent="0.35">
      <c r="A141" s="261">
        <v>42681</v>
      </c>
      <c r="B141" s="262">
        <v>1588</v>
      </c>
      <c r="C141" s="263" t="s">
        <v>197</v>
      </c>
      <c r="D141" s="263" t="s">
        <v>388</v>
      </c>
      <c r="E141" s="269">
        <v>27.94</v>
      </c>
      <c r="F141" s="266">
        <v>4.66</v>
      </c>
      <c r="G141" s="264"/>
      <c r="H141" s="264"/>
      <c r="I141" s="264"/>
      <c r="J141" s="264"/>
      <c r="K141" s="266">
        <f t="shared" si="5"/>
        <v>0</v>
      </c>
      <c r="L141" s="264"/>
      <c r="M141" s="264"/>
      <c r="N141" s="264"/>
      <c r="O141" s="264"/>
      <c r="P141" s="265"/>
      <c r="Q141" s="265"/>
      <c r="R141" s="264"/>
      <c r="S141" s="264"/>
      <c r="T141" s="264"/>
      <c r="U141" s="266">
        <f t="shared" si="6"/>
        <v>0</v>
      </c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>
        <v>23.28</v>
      </c>
      <c r="AK141" s="264"/>
      <c r="AL141" s="264">
        <f t="shared" si="7"/>
        <v>0</v>
      </c>
      <c r="AM141" s="255"/>
      <c r="AN141" s="255"/>
    </row>
    <row r="142" spans="1:40" x14ac:dyDescent="0.35">
      <c r="A142" s="261">
        <v>42681</v>
      </c>
      <c r="B142" s="262">
        <v>1589</v>
      </c>
      <c r="C142" s="252" t="s">
        <v>340</v>
      </c>
      <c r="D142" s="263" t="s">
        <v>389</v>
      </c>
      <c r="E142" s="269">
        <v>1877.5</v>
      </c>
      <c r="F142" s="266">
        <v>312.92</v>
      </c>
      <c r="G142" s="264"/>
      <c r="H142" s="264"/>
      <c r="I142" s="264"/>
      <c r="J142" s="264"/>
      <c r="K142" s="266">
        <f t="shared" si="5"/>
        <v>0</v>
      </c>
      <c r="L142" s="264"/>
      <c r="M142" s="264"/>
      <c r="N142" s="264"/>
      <c r="O142" s="264"/>
      <c r="P142" s="265"/>
      <c r="Q142" s="265"/>
      <c r="R142" s="264"/>
      <c r="S142" s="264"/>
      <c r="T142" s="264"/>
      <c r="U142" s="266">
        <f t="shared" si="6"/>
        <v>0</v>
      </c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>
        <v>1564.58</v>
      </c>
      <c r="AH142" s="264"/>
      <c r="AI142" s="264"/>
      <c r="AJ142" s="264"/>
      <c r="AK142" s="264"/>
      <c r="AL142" s="264">
        <f t="shared" si="7"/>
        <v>0</v>
      </c>
      <c r="AM142" s="255"/>
      <c r="AN142" s="255"/>
    </row>
    <row r="143" spans="1:40" x14ac:dyDescent="0.35">
      <c r="A143" s="261">
        <v>42681</v>
      </c>
      <c r="B143" s="262">
        <v>1591</v>
      </c>
      <c r="C143" s="252" t="s">
        <v>377</v>
      </c>
      <c r="D143" s="263" t="s">
        <v>390</v>
      </c>
      <c r="E143" s="269">
        <v>50</v>
      </c>
      <c r="F143" s="266"/>
      <c r="G143" s="264"/>
      <c r="H143" s="264"/>
      <c r="I143" s="264"/>
      <c r="J143" s="264"/>
      <c r="K143" s="266">
        <f t="shared" si="5"/>
        <v>0</v>
      </c>
      <c r="L143" s="264"/>
      <c r="M143" s="264"/>
      <c r="N143" s="264"/>
      <c r="O143" s="264"/>
      <c r="P143" s="265"/>
      <c r="Q143" s="265"/>
      <c r="R143" s="264"/>
      <c r="S143" s="264"/>
      <c r="T143" s="264"/>
      <c r="U143" s="266">
        <f t="shared" si="6"/>
        <v>0</v>
      </c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>
        <v>50</v>
      </c>
      <c r="AK143" s="264"/>
      <c r="AL143" s="264">
        <f t="shared" si="7"/>
        <v>0</v>
      </c>
      <c r="AM143" s="255"/>
      <c r="AN143" s="255"/>
    </row>
    <row r="144" spans="1:40" x14ac:dyDescent="0.35">
      <c r="A144" s="261">
        <v>42681</v>
      </c>
      <c r="B144" s="262">
        <v>1592</v>
      </c>
      <c r="C144" s="263" t="s">
        <v>378</v>
      </c>
      <c r="D144" s="263" t="s">
        <v>391</v>
      </c>
      <c r="E144" s="269">
        <v>45</v>
      </c>
      <c r="F144" s="266"/>
      <c r="G144" s="264"/>
      <c r="H144" s="264"/>
      <c r="I144" s="264"/>
      <c r="J144" s="264"/>
      <c r="K144" s="266">
        <f t="shared" si="5"/>
        <v>0</v>
      </c>
      <c r="L144" s="264"/>
      <c r="M144" s="264"/>
      <c r="N144" s="264"/>
      <c r="O144" s="264"/>
      <c r="P144" s="265"/>
      <c r="Q144" s="265"/>
      <c r="R144" s="264"/>
      <c r="S144" s="264"/>
      <c r="T144" s="264"/>
      <c r="U144" s="266">
        <f t="shared" si="6"/>
        <v>0</v>
      </c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>
        <v>45</v>
      </c>
      <c r="AK144" s="264"/>
      <c r="AL144" s="264">
        <f t="shared" si="7"/>
        <v>0</v>
      </c>
      <c r="AM144" s="255"/>
      <c r="AN144" s="255"/>
    </row>
    <row r="145" spans="1:40" x14ac:dyDescent="0.35">
      <c r="A145" s="261">
        <v>42684</v>
      </c>
      <c r="B145" s="262">
        <v>1593</v>
      </c>
      <c r="C145" s="263" t="s">
        <v>244</v>
      </c>
      <c r="D145" s="263" t="s">
        <v>392</v>
      </c>
      <c r="E145" s="269">
        <v>14.9</v>
      </c>
      <c r="F145" s="270">
        <v>2.48</v>
      </c>
      <c r="G145" s="264"/>
      <c r="H145" s="264"/>
      <c r="I145" s="264"/>
      <c r="J145" s="264"/>
      <c r="K145" s="266">
        <f t="shared" si="5"/>
        <v>0</v>
      </c>
      <c r="L145" s="264"/>
      <c r="M145" s="264"/>
      <c r="N145" s="264"/>
      <c r="O145" s="264"/>
      <c r="P145" s="265"/>
      <c r="Q145" s="265">
        <v>12.42</v>
      </c>
      <c r="R145" s="264"/>
      <c r="S145" s="264"/>
      <c r="T145" s="264"/>
      <c r="U145" s="266">
        <f t="shared" si="6"/>
        <v>12.42</v>
      </c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4"/>
      <c r="AL145" s="264">
        <f t="shared" si="7"/>
        <v>0</v>
      </c>
      <c r="AM145" s="255"/>
      <c r="AN145" s="255"/>
    </row>
    <row r="146" spans="1:40" x14ac:dyDescent="0.35">
      <c r="A146" s="261">
        <v>42379</v>
      </c>
      <c r="B146" s="262">
        <v>1594</v>
      </c>
      <c r="C146" s="263" t="s">
        <v>379</v>
      </c>
      <c r="D146" s="263" t="s">
        <v>393</v>
      </c>
      <c r="E146" s="269">
        <v>10</v>
      </c>
      <c r="F146" s="270"/>
      <c r="G146" s="264"/>
      <c r="H146" s="264"/>
      <c r="I146" s="264"/>
      <c r="J146" s="264"/>
      <c r="K146" s="266">
        <f t="shared" si="5"/>
        <v>0</v>
      </c>
      <c r="L146" s="264"/>
      <c r="M146" s="264"/>
      <c r="N146" s="264"/>
      <c r="O146" s="264"/>
      <c r="P146" s="265"/>
      <c r="Q146" s="265"/>
      <c r="R146" s="264"/>
      <c r="S146" s="264"/>
      <c r="T146" s="264"/>
      <c r="U146" s="266">
        <f t="shared" si="6"/>
        <v>0</v>
      </c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>
        <v>10</v>
      </c>
      <c r="AK146" s="264"/>
      <c r="AL146" s="264">
        <f t="shared" si="7"/>
        <v>0</v>
      </c>
      <c r="AM146" s="255"/>
      <c r="AN146" s="255"/>
    </row>
    <row r="147" spans="1:40" x14ac:dyDescent="0.35">
      <c r="A147" s="261">
        <v>42684</v>
      </c>
      <c r="B147" s="262">
        <v>1595</v>
      </c>
      <c r="C147" s="252" t="s">
        <v>365</v>
      </c>
      <c r="D147" s="263" t="s">
        <v>394</v>
      </c>
      <c r="E147" s="273">
        <v>32</v>
      </c>
      <c r="F147" s="270"/>
      <c r="G147" s="264"/>
      <c r="H147" s="264"/>
      <c r="I147" s="264"/>
      <c r="J147" s="264"/>
      <c r="K147" s="266">
        <f t="shared" si="5"/>
        <v>0</v>
      </c>
      <c r="L147" s="264"/>
      <c r="M147" s="264">
        <v>32</v>
      </c>
      <c r="N147" s="264"/>
      <c r="O147" s="264"/>
      <c r="P147" s="265"/>
      <c r="Q147" s="265"/>
      <c r="R147" s="264"/>
      <c r="S147" s="264"/>
      <c r="T147" s="264"/>
      <c r="U147" s="266">
        <f t="shared" si="6"/>
        <v>32</v>
      </c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>
        <f t="shared" si="7"/>
        <v>0</v>
      </c>
      <c r="AM147" s="255"/>
      <c r="AN147" s="255"/>
    </row>
    <row r="148" spans="1:40" x14ac:dyDescent="0.35">
      <c r="A148" s="261">
        <v>42688</v>
      </c>
      <c r="B148" s="262">
        <v>1596</v>
      </c>
      <c r="C148" s="263" t="s">
        <v>374</v>
      </c>
      <c r="D148" s="263" t="s">
        <v>395</v>
      </c>
      <c r="E148" s="267">
        <v>118.16</v>
      </c>
      <c r="F148" s="270">
        <v>19.690000000000001</v>
      </c>
      <c r="G148" s="264"/>
      <c r="H148" s="264"/>
      <c r="I148" s="264"/>
      <c r="J148" s="264"/>
      <c r="K148" s="266">
        <f t="shared" si="5"/>
        <v>0</v>
      </c>
      <c r="L148" s="264"/>
      <c r="M148" s="264"/>
      <c r="N148" s="264"/>
      <c r="O148" s="264"/>
      <c r="P148" s="265"/>
      <c r="Q148" s="265"/>
      <c r="R148" s="264"/>
      <c r="S148" s="264"/>
      <c r="T148" s="264"/>
      <c r="U148" s="266">
        <f t="shared" si="6"/>
        <v>0</v>
      </c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>
        <v>98.47</v>
      </c>
      <c r="AK148" s="264"/>
      <c r="AL148" s="264">
        <f t="shared" si="7"/>
        <v>0</v>
      </c>
      <c r="AM148" s="255"/>
      <c r="AN148" s="255"/>
    </row>
    <row r="149" spans="1:40" x14ac:dyDescent="0.35">
      <c r="A149" s="261">
        <v>42688</v>
      </c>
      <c r="B149" s="262">
        <v>1597</v>
      </c>
      <c r="C149" s="263" t="s">
        <v>380</v>
      </c>
      <c r="D149" s="263" t="s">
        <v>396</v>
      </c>
      <c r="E149" s="267">
        <v>7.08</v>
      </c>
      <c r="F149" s="270">
        <v>1.18</v>
      </c>
      <c r="G149" s="264"/>
      <c r="H149" s="264"/>
      <c r="I149" s="264"/>
      <c r="J149" s="264"/>
      <c r="K149" s="266">
        <f t="shared" si="5"/>
        <v>0</v>
      </c>
      <c r="L149" s="264"/>
      <c r="M149" s="264"/>
      <c r="N149" s="264"/>
      <c r="O149" s="264"/>
      <c r="P149" s="265"/>
      <c r="Q149" s="265">
        <v>5.9</v>
      </c>
      <c r="R149" s="264"/>
      <c r="S149" s="264"/>
      <c r="T149" s="264"/>
      <c r="U149" s="266">
        <f t="shared" si="6"/>
        <v>5.9</v>
      </c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>
        <f t="shared" si="7"/>
        <v>0</v>
      </c>
      <c r="AM149" s="255"/>
      <c r="AN149" s="255"/>
    </row>
    <row r="150" spans="1:40" x14ac:dyDescent="0.35">
      <c r="A150" s="261">
        <v>42688</v>
      </c>
      <c r="B150" s="262" t="s">
        <v>157</v>
      </c>
      <c r="C150" s="263" t="s">
        <v>296</v>
      </c>
      <c r="D150" s="263" t="s">
        <v>253</v>
      </c>
      <c r="E150" s="264">
        <v>5</v>
      </c>
      <c r="F150" s="270">
        <v>0.83</v>
      </c>
      <c r="G150" s="264"/>
      <c r="H150" s="264"/>
      <c r="I150" s="264"/>
      <c r="J150" s="264"/>
      <c r="K150" s="266">
        <f t="shared" si="5"/>
        <v>0</v>
      </c>
      <c r="L150" s="264"/>
      <c r="M150" s="264"/>
      <c r="N150" s="264"/>
      <c r="O150" s="264"/>
      <c r="P150" s="265">
        <v>4.17</v>
      </c>
      <c r="Q150" s="265"/>
      <c r="R150" s="264"/>
      <c r="S150" s="264"/>
      <c r="T150" s="264"/>
      <c r="U150" s="266">
        <f t="shared" si="6"/>
        <v>4.17</v>
      </c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>
        <f t="shared" si="7"/>
        <v>0</v>
      </c>
      <c r="AM150" s="255"/>
      <c r="AN150" s="255"/>
    </row>
    <row r="151" spans="1:40" x14ac:dyDescent="0.35">
      <c r="A151" s="261">
        <v>42691</v>
      </c>
      <c r="B151" s="262">
        <v>1598</v>
      </c>
      <c r="C151" s="263" t="s">
        <v>381</v>
      </c>
      <c r="D151" s="263" t="s">
        <v>397</v>
      </c>
      <c r="E151" s="264">
        <v>724.8</v>
      </c>
      <c r="F151" s="270">
        <v>120.8</v>
      </c>
      <c r="G151" s="264"/>
      <c r="H151" s="264"/>
      <c r="I151" s="264"/>
      <c r="J151" s="264"/>
      <c r="K151" s="266">
        <f t="shared" si="5"/>
        <v>0</v>
      </c>
      <c r="L151" s="264"/>
      <c r="M151" s="264"/>
      <c r="N151" s="264"/>
      <c r="O151" s="264"/>
      <c r="P151" s="265"/>
      <c r="Q151" s="265"/>
      <c r="R151" s="264"/>
      <c r="S151" s="264"/>
      <c r="T151" s="264"/>
      <c r="U151" s="266">
        <f t="shared" si="6"/>
        <v>0</v>
      </c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64">
        <v>604</v>
      </c>
      <c r="AK151" s="264"/>
      <c r="AL151" s="264">
        <f t="shared" si="7"/>
        <v>0</v>
      </c>
      <c r="AM151" s="255"/>
      <c r="AN151" s="255"/>
    </row>
    <row r="152" spans="1:40" x14ac:dyDescent="0.35">
      <c r="A152" s="261">
        <v>42696</v>
      </c>
      <c r="B152" s="262">
        <v>1599</v>
      </c>
      <c r="C152" s="263" t="s">
        <v>197</v>
      </c>
      <c r="D152" s="263" t="s">
        <v>398</v>
      </c>
      <c r="E152" s="264">
        <v>550.6</v>
      </c>
      <c r="F152" s="270"/>
      <c r="G152" s="264"/>
      <c r="H152" s="264">
        <v>550.6</v>
      </c>
      <c r="I152" s="264"/>
      <c r="J152" s="264"/>
      <c r="K152" s="266">
        <f t="shared" si="5"/>
        <v>550.6</v>
      </c>
      <c r="L152" s="264"/>
      <c r="M152" s="264"/>
      <c r="N152" s="264"/>
      <c r="O152" s="264"/>
      <c r="P152" s="265"/>
      <c r="Q152" s="265"/>
      <c r="R152" s="264"/>
      <c r="S152" s="264"/>
      <c r="T152" s="264"/>
      <c r="U152" s="266">
        <f t="shared" si="6"/>
        <v>0</v>
      </c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4">
        <f t="shared" si="7"/>
        <v>0</v>
      </c>
      <c r="AM152" s="255"/>
      <c r="AN152" s="255"/>
    </row>
    <row r="153" spans="1:40" x14ac:dyDescent="0.35">
      <c r="A153" s="261">
        <v>42696</v>
      </c>
      <c r="B153" s="262">
        <v>1600</v>
      </c>
      <c r="C153" s="263" t="s">
        <v>344</v>
      </c>
      <c r="D153" s="263" t="s">
        <v>222</v>
      </c>
      <c r="E153" s="264">
        <v>470.78</v>
      </c>
      <c r="F153" s="270"/>
      <c r="G153" s="264"/>
      <c r="H153" s="264">
        <v>428.9</v>
      </c>
      <c r="I153" s="264">
        <v>41.88</v>
      </c>
      <c r="J153" s="264"/>
      <c r="K153" s="266">
        <f t="shared" si="5"/>
        <v>470.78</v>
      </c>
      <c r="L153" s="264"/>
      <c r="M153" s="264"/>
      <c r="N153" s="264"/>
      <c r="O153" s="264"/>
      <c r="P153" s="265"/>
      <c r="Q153" s="265"/>
      <c r="R153" s="264"/>
      <c r="S153" s="264"/>
      <c r="T153" s="264"/>
      <c r="U153" s="266">
        <f t="shared" si="6"/>
        <v>0</v>
      </c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>
        <f t="shared" si="7"/>
        <v>0</v>
      </c>
      <c r="AM153" s="255"/>
      <c r="AN153" s="255"/>
    </row>
    <row r="154" spans="1:40" x14ac:dyDescent="0.35">
      <c r="A154" s="261">
        <v>42702</v>
      </c>
      <c r="B154" s="262">
        <v>1605</v>
      </c>
      <c r="C154" s="252" t="s">
        <v>348</v>
      </c>
      <c r="D154" s="263" t="s">
        <v>399</v>
      </c>
      <c r="E154" s="264">
        <v>300</v>
      </c>
      <c r="F154" s="270"/>
      <c r="G154" s="264"/>
      <c r="H154" s="264"/>
      <c r="I154" s="264"/>
      <c r="J154" s="264"/>
      <c r="K154" s="266">
        <f t="shared" si="5"/>
        <v>0</v>
      </c>
      <c r="L154" s="264"/>
      <c r="M154" s="264"/>
      <c r="N154" s="264"/>
      <c r="O154" s="264"/>
      <c r="P154" s="265"/>
      <c r="Q154" s="265"/>
      <c r="R154" s="264"/>
      <c r="S154" s="264"/>
      <c r="T154" s="264"/>
      <c r="U154" s="266">
        <f t="shared" si="6"/>
        <v>0</v>
      </c>
      <c r="V154" s="264"/>
      <c r="W154" s="264">
        <v>300</v>
      </c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>
        <f t="shared" si="7"/>
        <v>0</v>
      </c>
      <c r="AM154" s="255"/>
      <c r="AN154" s="255"/>
    </row>
    <row r="155" spans="1:40" x14ac:dyDescent="0.35">
      <c r="A155" s="261">
        <v>42702</v>
      </c>
      <c r="B155" s="262">
        <v>1602</v>
      </c>
      <c r="C155" s="263" t="s">
        <v>382</v>
      </c>
      <c r="D155" s="263" t="s">
        <v>400</v>
      </c>
      <c r="E155" s="264">
        <v>575</v>
      </c>
      <c r="F155" s="270"/>
      <c r="G155" s="264"/>
      <c r="H155" s="264"/>
      <c r="I155" s="264"/>
      <c r="J155" s="264"/>
      <c r="K155" s="266">
        <f t="shared" si="5"/>
        <v>0</v>
      </c>
      <c r="L155" s="264"/>
      <c r="M155" s="264"/>
      <c r="N155" s="264"/>
      <c r="O155" s="264"/>
      <c r="P155" s="265">
        <v>575</v>
      </c>
      <c r="Q155" s="265"/>
      <c r="R155" s="264"/>
      <c r="S155" s="264"/>
      <c r="T155" s="264"/>
      <c r="U155" s="266">
        <f t="shared" si="6"/>
        <v>575</v>
      </c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>
        <f t="shared" si="7"/>
        <v>0</v>
      </c>
      <c r="AM155" s="255"/>
      <c r="AN155" s="255"/>
    </row>
    <row r="156" spans="1:40" x14ac:dyDescent="0.35">
      <c r="A156" s="261">
        <v>42702</v>
      </c>
      <c r="B156" s="262">
        <v>1603</v>
      </c>
      <c r="C156" s="252" t="s">
        <v>340</v>
      </c>
      <c r="D156" s="263" t="s">
        <v>401</v>
      </c>
      <c r="E156" s="264">
        <v>1877.5</v>
      </c>
      <c r="F156" s="269">
        <v>312.92</v>
      </c>
      <c r="G156" s="264"/>
      <c r="H156" s="264"/>
      <c r="I156" s="264"/>
      <c r="J156" s="264"/>
      <c r="K156" s="266">
        <f t="shared" si="5"/>
        <v>0</v>
      </c>
      <c r="L156" s="264"/>
      <c r="M156" s="264"/>
      <c r="N156" s="264"/>
      <c r="O156" s="264"/>
      <c r="P156" s="265"/>
      <c r="Q156" s="265"/>
      <c r="R156" s="264"/>
      <c r="S156" s="264"/>
      <c r="T156" s="264"/>
      <c r="U156" s="266">
        <f t="shared" si="6"/>
        <v>0</v>
      </c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>
        <v>1564.58</v>
      </c>
      <c r="AH156" s="264"/>
      <c r="AI156" s="264"/>
      <c r="AJ156" s="264"/>
      <c r="AK156" s="264"/>
      <c r="AL156" s="264">
        <f t="shared" si="7"/>
        <v>0</v>
      </c>
      <c r="AM156" s="255"/>
      <c r="AN156" s="255"/>
    </row>
    <row r="157" spans="1:40" x14ac:dyDescent="0.35">
      <c r="A157" s="261">
        <v>42703</v>
      </c>
      <c r="B157" s="262">
        <v>1604</v>
      </c>
      <c r="C157" s="271" t="s">
        <v>374</v>
      </c>
      <c r="D157" s="271" t="s">
        <v>402</v>
      </c>
      <c r="E157" s="264">
        <v>157.1</v>
      </c>
      <c r="F157" s="269">
        <v>26.18</v>
      </c>
      <c r="G157" s="264"/>
      <c r="H157" s="264"/>
      <c r="I157" s="264"/>
      <c r="J157" s="264"/>
      <c r="K157" s="266">
        <f t="shared" si="5"/>
        <v>0</v>
      </c>
      <c r="L157" s="264"/>
      <c r="M157" s="264"/>
      <c r="N157" s="264"/>
      <c r="O157" s="264"/>
      <c r="P157" s="265"/>
      <c r="Q157" s="265"/>
      <c r="R157" s="264"/>
      <c r="S157" s="264"/>
      <c r="T157" s="264"/>
      <c r="U157" s="266">
        <f t="shared" si="6"/>
        <v>0</v>
      </c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>
        <v>130.91999999999999</v>
      </c>
      <c r="AK157" s="264"/>
      <c r="AL157" s="264">
        <f t="shared" si="7"/>
        <v>0</v>
      </c>
      <c r="AM157" s="255"/>
      <c r="AN157" s="255"/>
    </row>
    <row r="158" spans="1:40" x14ac:dyDescent="0.35">
      <c r="A158" s="261">
        <v>42704</v>
      </c>
      <c r="B158" s="262" t="s">
        <v>157</v>
      </c>
      <c r="C158" s="252" t="s">
        <v>242</v>
      </c>
      <c r="D158" s="263" t="s">
        <v>403</v>
      </c>
      <c r="E158" s="264">
        <v>1000</v>
      </c>
      <c r="F158" s="269">
        <v>166.67</v>
      </c>
      <c r="G158" s="264"/>
      <c r="H158" s="264"/>
      <c r="I158" s="264"/>
      <c r="J158" s="264"/>
      <c r="K158" s="266">
        <f t="shared" si="5"/>
        <v>0</v>
      </c>
      <c r="L158" s="264"/>
      <c r="M158" s="264"/>
      <c r="N158" s="264"/>
      <c r="O158" s="264"/>
      <c r="P158" s="265"/>
      <c r="Q158" s="265"/>
      <c r="R158" s="264"/>
      <c r="S158" s="264"/>
      <c r="T158" s="264"/>
      <c r="U158" s="266">
        <f t="shared" si="6"/>
        <v>0</v>
      </c>
      <c r="V158" s="264"/>
      <c r="W158" s="264"/>
      <c r="X158" s="264"/>
      <c r="Y158" s="264"/>
      <c r="Z158" s="264">
        <v>833.33</v>
      </c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4">
        <f t="shared" si="7"/>
        <v>0</v>
      </c>
      <c r="AM158" s="255"/>
      <c r="AN158" s="255"/>
    </row>
    <row r="159" spans="1:40" x14ac:dyDescent="0.35">
      <c r="A159" s="261">
        <v>42709</v>
      </c>
      <c r="B159" s="262">
        <v>1606</v>
      </c>
      <c r="C159" s="252" t="s">
        <v>407</v>
      </c>
      <c r="D159" s="252" t="s">
        <v>410</v>
      </c>
      <c r="E159" s="269">
        <v>360</v>
      </c>
      <c r="F159" s="272">
        <v>60</v>
      </c>
      <c r="G159" s="264"/>
      <c r="H159" s="264"/>
      <c r="I159" s="264"/>
      <c r="J159" s="264"/>
      <c r="K159" s="266">
        <f t="shared" si="5"/>
        <v>0</v>
      </c>
      <c r="L159" s="264"/>
      <c r="M159" s="264"/>
      <c r="N159" s="264"/>
      <c r="O159" s="264"/>
      <c r="P159" s="265"/>
      <c r="Q159" s="265"/>
      <c r="R159" s="264"/>
      <c r="S159" s="264"/>
      <c r="T159" s="264"/>
      <c r="U159" s="266">
        <f t="shared" si="6"/>
        <v>0</v>
      </c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>
        <v>300</v>
      </c>
      <c r="AK159" s="264"/>
      <c r="AL159" s="264">
        <f t="shared" si="7"/>
        <v>0</v>
      </c>
      <c r="AM159" s="255"/>
      <c r="AN159" s="255"/>
    </row>
    <row r="160" spans="1:40" x14ac:dyDescent="0.35">
      <c r="A160" s="261">
        <v>42709</v>
      </c>
      <c r="B160" s="262">
        <v>1607</v>
      </c>
      <c r="C160" s="271" t="s">
        <v>340</v>
      </c>
      <c r="D160" s="271" t="s">
        <v>411</v>
      </c>
      <c r="E160" s="269">
        <v>60</v>
      </c>
      <c r="F160" s="266">
        <v>10</v>
      </c>
      <c r="G160" s="264"/>
      <c r="H160" s="264"/>
      <c r="I160" s="264"/>
      <c r="J160" s="264"/>
      <c r="K160" s="266">
        <f t="shared" si="5"/>
        <v>0</v>
      </c>
      <c r="L160" s="264"/>
      <c r="M160" s="264"/>
      <c r="N160" s="264"/>
      <c r="O160" s="264"/>
      <c r="P160" s="265"/>
      <c r="Q160" s="265"/>
      <c r="R160" s="264"/>
      <c r="S160" s="264"/>
      <c r="T160" s="264"/>
      <c r="U160" s="266">
        <f t="shared" si="6"/>
        <v>0</v>
      </c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>
        <v>50</v>
      </c>
      <c r="AK160" s="264"/>
      <c r="AL160" s="264">
        <f t="shared" si="7"/>
        <v>0</v>
      </c>
      <c r="AM160" s="255"/>
      <c r="AN160" s="255"/>
    </row>
    <row r="161" spans="1:40" x14ac:dyDescent="0.35">
      <c r="A161" s="261">
        <v>42709</v>
      </c>
      <c r="B161" s="262">
        <v>1608</v>
      </c>
      <c r="C161" s="271" t="s">
        <v>376</v>
      </c>
      <c r="D161" s="271" t="s">
        <v>412</v>
      </c>
      <c r="E161" s="269">
        <v>515.61</v>
      </c>
      <c r="F161" s="266">
        <v>85.93</v>
      </c>
      <c r="G161" s="264"/>
      <c r="H161" s="264"/>
      <c r="I161" s="264"/>
      <c r="J161" s="264"/>
      <c r="K161" s="266">
        <f t="shared" si="5"/>
        <v>0</v>
      </c>
      <c r="L161" s="264"/>
      <c r="M161" s="264"/>
      <c r="N161" s="264"/>
      <c r="O161" s="264"/>
      <c r="P161" s="265"/>
      <c r="Q161" s="265"/>
      <c r="R161" s="264"/>
      <c r="S161" s="264"/>
      <c r="T161" s="264"/>
      <c r="U161" s="266">
        <f t="shared" si="6"/>
        <v>0</v>
      </c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/>
      <c r="AF161" s="264"/>
      <c r="AG161" s="264"/>
      <c r="AH161" s="264"/>
      <c r="AI161" s="264"/>
      <c r="AJ161" s="264">
        <v>429.68</v>
      </c>
      <c r="AK161" s="264"/>
      <c r="AL161" s="264">
        <f t="shared" si="7"/>
        <v>0</v>
      </c>
      <c r="AM161" s="255"/>
      <c r="AN161" s="255"/>
    </row>
    <row r="162" spans="1:40" x14ac:dyDescent="0.35">
      <c r="A162" s="261">
        <v>42709</v>
      </c>
      <c r="B162" s="262">
        <v>1609</v>
      </c>
      <c r="C162" s="252" t="s">
        <v>201</v>
      </c>
      <c r="D162" s="263" t="s">
        <v>413</v>
      </c>
      <c r="E162" s="269">
        <v>9.75</v>
      </c>
      <c r="F162" s="266">
        <v>1.62</v>
      </c>
      <c r="G162" s="264"/>
      <c r="H162" s="264"/>
      <c r="I162" s="264"/>
      <c r="J162" s="264"/>
      <c r="K162" s="266">
        <f t="shared" si="5"/>
        <v>0</v>
      </c>
      <c r="L162" s="264"/>
      <c r="M162" s="264"/>
      <c r="N162" s="264"/>
      <c r="O162" s="264"/>
      <c r="P162" s="265"/>
      <c r="Q162" s="265"/>
      <c r="R162" s="264"/>
      <c r="S162" s="264"/>
      <c r="T162" s="264"/>
      <c r="U162" s="266">
        <f t="shared" si="6"/>
        <v>0</v>
      </c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>
        <v>8.1300000000000008</v>
      </c>
      <c r="AK162" s="264"/>
      <c r="AL162" s="264">
        <f t="shared" si="7"/>
        <v>0</v>
      </c>
      <c r="AM162" s="255"/>
      <c r="AN162" s="255"/>
    </row>
    <row r="163" spans="1:40" x14ac:dyDescent="0.35">
      <c r="A163" s="261">
        <v>42709</v>
      </c>
      <c r="B163" s="262">
        <v>1610</v>
      </c>
      <c r="C163" s="263" t="s">
        <v>197</v>
      </c>
      <c r="D163" s="263" t="s">
        <v>414</v>
      </c>
      <c r="E163" s="269">
        <v>41.68</v>
      </c>
      <c r="F163" s="266">
        <v>2</v>
      </c>
      <c r="G163" s="264"/>
      <c r="H163" s="264"/>
      <c r="I163" s="264"/>
      <c r="J163" s="264">
        <v>29.7</v>
      </c>
      <c r="K163" s="266">
        <f t="shared" si="5"/>
        <v>29.7</v>
      </c>
      <c r="L163" s="264"/>
      <c r="M163" s="264"/>
      <c r="N163" s="264"/>
      <c r="O163" s="264"/>
      <c r="P163" s="265">
        <v>9.98</v>
      </c>
      <c r="Q163" s="265"/>
      <c r="R163" s="264"/>
      <c r="S163" s="264"/>
      <c r="T163" s="264"/>
      <c r="U163" s="266">
        <f t="shared" si="6"/>
        <v>9.98</v>
      </c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>
        <f t="shared" si="7"/>
        <v>0</v>
      </c>
      <c r="AM163" s="255"/>
      <c r="AN163" s="255"/>
    </row>
    <row r="164" spans="1:40" x14ac:dyDescent="0.35">
      <c r="A164" s="261">
        <v>42711</v>
      </c>
      <c r="B164" s="262" t="s">
        <v>157</v>
      </c>
      <c r="C164" s="263" t="s">
        <v>199</v>
      </c>
      <c r="D164" s="263" t="s">
        <v>335</v>
      </c>
      <c r="E164" s="269">
        <v>8</v>
      </c>
      <c r="F164" s="266"/>
      <c r="G164" s="264"/>
      <c r="H164" s="264"/>
      <c r="I164" s="264"/>
      <c r="J164" s="264"/>
      <c r="K164" s="266">
        <f t="shared" si="5"/>
        <v>0</v>
      </c>
      <c r="L164" s="264">
        <v>8</v>
      </c>
      <c r="M164" s="264"/>
      <c r="N164" s="264"/>
      <c r="O164" s="264"/>
      <c r="P164" s="265"/>
      <c r="Q164" s="265"/>
      <c r="R164" s="264"/>
      <c r="S164" s="264"/>
      <c r="T164" s="264"/>
      <c r="U164" s="266">
        <f t="shared" si="6"/>
        <v>8</v>
      </c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>
        <f t="shared" si="7"/>
        <v>0</v>
      </c>
      <c r="AM164" s="255"/>
      <c r="AN164" s="255"/>
    </row>
    <row r="165" spans="1:40" x14ac:dyDescent="0.35">
      <c r="A165" s="261">
        <v>42711</v>
      </c>
      <c r="B165" s="262" t="s">
        <v>157</v>
      </c>
      <c r="C165" s="252" t="s">
        <v>248</v>
      </c>
      <c r="D165" s="252" t="s">
        <v>249</v>
      </c>
      <c r="E165" s="269">
        <v>43.55</v>
      </c>
      <c r="F165" s="266">
        <v>7.26</v>
      </c>
      <c r="G165" s="264"/>
      <c r="H165" s="264"/>
      <c r="I165" s="264"/>
      <c r="J165" s="264"/>
      <c r="K165" s="266">
        <f t="shared" si="5"/>
        <v>0</v>
      </c>
      <c r="L165" s="264"/>
      <c r="M165" s="264"/>
      <c r="N165" s="264"/>
      <c r="O165" s="264"/>
      <c r="P165" s="265">
        <v>36.29</v>
      </c>
      <c r="Q165" s="265"/>
      <c r="R165" s="264"/>
      <c r="S165" s="264"/>
      <c r="T165" s="264"/>
      <c r="U165" s="266">
        <f t="shared" si="6"/>
        <v>36.29</v>
      </c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>
        <f t="shared" si="7"/>
        <v>7.1054273576010019E-15</v>
      </c>
      <c r="AM165" s="255"/>
      <c r="AN165" s="255"/>
    </row>
    <row r="166" spans="1:40" x14ac:dyDescent="0.35">
      <c r="A166" s="261">
        <v>42712</v>
      </c>
      <c r="B166" s="262">
        <v>1461</v>
      </c>
      <c r="C166" s="263" t="s">
        <v>382</v>
      </c>
      <c r="D166" s="263" t="s">
        <v>415</v>
      </c>
      <c r="E166" s="269">
        <v>425</v>
      </c>
      <c r="F166" s="266"/>
      <c r="G166" s="264"/>
      <c r="H166" s="264"/>
      <c r="I166" s="264"/>
      <c r="J166" s="264"/>
      <c r="K166" s="266">
        <f t="shared" si="5"/>
        <v>0</v>
      </c>
      <c r="L166" s="264"/>
      <c r="M166" s="264"/>
      <c r="N166" s="264"/>
      <c r="O166" s="264"/>
      <c r="P166" s="265">
        <v>425</v>
      </c>
      <c r="Q166" s="265"/>
      <c r="R166" s="264"/>
      <c r="S166" s="264"/>
      <c r="T166" s="264"/>
      <c r="U166" s="266">
        <f t="shared" si="6"/>
        <v>425</v>
      </c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>
        <f t="shared" si="7"/>
        <v>0</v>
      </c>
      <c r="AM166" s="255"/>
      <c r="AN166" s="255"/>
    </row>
    <row r="167" spans="1:40" x14ac:dyDescent="0.35">
      <c r="A167" s="261">
        <v>42713</v>
      </c>
      <c r="B167" s="262">
        <v>1462</v>
      </c>
      <c r="C167" s="252" t="s">
        <v>219</v>
      </c>
      <c r="D167" s="263" t="s">
        <v>416</v>
      </c>
      <c r="E167" s="269">
        <v>58.48</v>
      </c>
      <c r="F167" s="266">
        <v>0.57999999999999996</v>
      </c>
      <c r="G167" s="264"/>
      <c r="H167" s="264"/>
      <c r="I167" s="264"/>
      <c r="J167" s="264"/>
      <c r="K167" s="266">
        <f t="shared" si="5"/>
        <v>0</v>
      </c>
      <c r="L167" s="264"/>
      <c r="M167" s="264"/>
      <c r="N167" s="264"/>
      <c r="O167" s="264"/>
      <c r="P167" s="265"/>
      <c r="Q167" s="265"/>
      <c r="R167" s="264"/>
      <c r="S167" s="264">
        <v>57.9</v>
      </c>
      <c r="T167" s="264"/>
      <c r="U167" s="266">
        <f t="shared" si="6"/>
        <v>57.9</v>
      </c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>
        <f t="shared" si="7"/>
        <v>0</v>
      </c>
      <c r="AM167" s="255"/>
      <c r="AN167" s="255"/>
    </row>
    <row r="168" spans="1:40" x14ac:dyDescent="0.35">
      <c r="A168" s="261">
        <v>42717</v>
      </c>
      <c r="B168" s="262" t="s">
        <v>157</v>
      </c>
      <c r="C168" s="263" t="s">
        <v>296</v>
      </c>
      <c r="D168" s="263" t="s">
        <v>253</v>
      </c>
      <c r="E168" s="269">
        <v>5</v>
      </c>
      <c r="F168" s="266">
        <v>0.83</v>
      </c>
      <c r="G168" s="264"/>
      <c r="H168" s="264"/>
      <c r="I168" s="264"/>
      <c r="J168" s="264"/>
      <c r="K168" s="266">
        <f t="shared" si="5"/>
        <v>0</v>
      </c>
      <c r="L168" s="264"/>
      <c r="M168" s="264"/>
      <c r="N168" s="264"/>
      <c r="O168" s="264"/>
      <c r="P168" s="265">
        <v>4.17</v>
      </c>
      <c r="Q168" s="265"/>
      <c r="R168" s="264"/>
      <c r="S168" s="264"/>
      <c r="T168" s="264"/>
      <c r="U168" s="266">
        <f t="shared" si="6"/>
        <v>4.17</v>
      </c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>
        <f t="shared" si="7"/>
        <v>0</v>
      </c>
      <c r="AM168" s="255"/>
      <c r="AN168" s="255"/>
    </row>
    <row r="169" spans="1:40" x14ac:dyDescent="0.35">
      <c r="A169" s="261">
        <v>42719</v>
      </c>
      <c r="B169" s="262">
        <v>1463</v>
      </c>
      <c r="C169" s="263" t="s">
        <v>197</v>
      </c>
      <c r="D169" s="263" t="s">
        <v>417</v>
      </c>
      <c r="E169" s="269">
        <v>551</v>
      </c>
      <c r="F169" s="266"/>
      <c r="G169" s="264"/>
      <c r="H169" s="264">
        <v>551</v>
      </c>
      <c r="I169" s="264"/>
      <c r="J169" s="264"/>
      <c r="K169" s="266">
        <f t="shared" si="5"/>
        <v>551</v>
      </c>
      <c r="L169" s="264"/>
      <c r="M169" s="264"/>
      <c r="N169" s="264"/>
      <c r="O169" s="264"/>
      <c r="P169" s="265"/>
      <c r="Q169" s="265"/>
      <c r="R169" s="264"/>
      <c r="S169" s="264"/>
      <c r="T169" s="264"/>
      <c r="U169" s="266">
        <f t="shared" si="6"/>
        <v>0</v>
      </c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>
        <f t="shared" si="7"/>
        <v>0</v>
      </c>
      <c r="AM169" s="255"/>
      <c r="AN169" s="255"/>
    </row>
    <row r="170" spans="1:40" x14ac:dyDescent="0.35">
      <c r="A170" s="261">
        <v>42719</v>
      </c>
      <c r="B170" s="262">
        <v>1464</v>
      </c>
      <c r="C170" s="263" t="s">
        <v>408</v>
      </c>
      <c r="D170" s="263" t="s">
        <v>222</v>
      </c>
      <c r="E170" s="269">
        <v>470.38</v>
      </c>
      <c r="F170" s="270"/>
      <c r="G170" s="264"/>
      <c r="H170" s="264">
        <v>428.5</v>
      </c>
      <c r="I170" s="264">
        <v>41.88</v>
      </c>
      <c r="J170" s="264"/>
      <c r="K170" s="266">
        <f t="shared" si="5"/>
        <v>470.38</v>
      </c>
      <c r="L170" s="264"/>
      <c r="M170" s="264"/>
      <c r="N170" s="264"/>
      <c r="O170" s="264"/>
      <c r="P170" s="265"/>
      <c r="Q170" s="265"/>
      <c r="R170" s="264"/>
      <c r="S170" s="264"/>
      <c r="T170" s="264"/>
      <c r="U170" s="266">
        <f t="shared" si="6"/>
        <v>0</v>
      </c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  <c r="AF170" s="264"/>
      <c r="AG170" s="264"/>
      <c r="AH170" s="264"/>
      <c r="AI170" s="264"/>
      <c r="AJ170" s="264"/>
      <c r="AK170" s="264"/>
      <c r="AL170" s="264">
        <f t="shared" si="7"/>
        <v>0</v>
      </c>
      <c r="AM170" s="255"/>
      <c r="AN170" s="255"/>
    </row>
    <row r="171" spans="1:40" x14ac:dyDescent="0.35">
      <c r="A171" s="261">
        <v>42719</v>
      </c>
      <c r="B171" s="262">
        <v>1465</v>
      </c>
      <c r="C171" s="252" t="s">
        <v>219</v>
      </c>
      <c r="D171" s="263" t="s">
        <v>418</v>
      </c>
      <c r="E171" s="269">
        <v>82.14</v>
      </c>
      <c r="F171" s="270">
        <v>13.69</v>
      </c>
      <c r="G171" s="264"/>
      <c r="H171" s="264"/>
      <c r="I171" s="264"/>
      <c r="J171" s="264"/>
      <c r="K171" s="266">
        <f t="shared" si="5"/>
        <v>0</v>
      </c>
      <c r="L171" s="264"/>
      <c r="M171" s="264"/>
      <c r="N171" s="264"/>
      <c r="O171" s="264"/>
      <c r="P171" s="265"/>
      <c r="Q171" s="265">
        <v>68.45</v>
      </c>
      <c r="R171" s="264"/>
      <c r="S171" s="264"/>
      <c r="T171" s="264"/>
      <c r="U171" s="266">
        <f t="shared" si="6"/>
        <v>68.45</v>
      </c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264"/>
      <c r="AF171" s="264"/>
      <c r="AG171" s="264"/>
      <c r="AH171" s="264"/>
      <c r="AI171" s="264"/>
      <c r="AJ171" s="264"/>
      <c r="AK171" s="264"/>
      <c r="AL171" s="264">
        <f t="shared" si="7"/>
        <v>0</v>
      </c>
      <c r="AM171" s="255"/>
      <c r="AN171" s="255"/>
    </row>
    <row r="172" spans="1:40" x14ac:dyDescent="0.35">
      <c r="A172" s="261">
        <v>42719</v>
      </c>
      <c r="B172" s="262">
        <v>1466</v>
      </c>
      <c r="C172" s="271" t="s">
        <v>340</v>
      </c>
      <c r="D172" s="263" t="s">
        <v>419</v>
      </c>
      <c r="E172" s="273">
        <v>456</v>
      </c>
      <c r="F172" s="270">
        <v>76</v>
      </c>
      <c r="G172" s="264"/>
      <c r="H172" s="264"/>
      <c r="I172" s="264"/>
      <c r="J172" s="264"/>
      <c r="K172" s="266">
        <f t="shared" si="5"/>
        <v>0</v>
      </c>
      <c r="L172" s="264"/>
      <c r="M172" s="264"/>
      <c r="N172" s="264"/>
      <c r="O172" s="264"/>
      <c r="P172" s="265"/>
      <c r="Q172" s="265"/>
      <c r="R172" s="264"/>
      <c r="S172" s="264"/>
      <c r="T172" s="264"/>
      <c r="U172" s="266">
        <f t="shared" si="6"/>
        <v>0</v>
      </c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>
        <v>380</v>
      </c>
      <c r="AK172" s="264"/>
      <c r="AL172" s="264">
        <f t="shared" si="7"/>
        <v>0</v>
      </c>
      <c r="AM172" s="255"/>
      <c r="AN172" s="255"/>
    </row>
    <row r="173" spans="1:40" x14ac:dyDescent="0.35">
      <c r="A173" s="261">
        <v>42719</v>
      </c>
      <c r="B173" s="262">
        <v>1467</v>
      </c>
      <c r="C173" s="263" t="s">
        <v>409</v>
      </c>
      <c r="D173" s="263" t="s">
        <v>420</v>
      </c>
      <c r="E173" s="267">
        <v>719.94</v>
      </c>
      <c r="F173" s="270">
        <v>119.99</v>
      </c>
      <c r="G173" s="264"/>
      <c r="H173" s="264"/>
      <c r="I173" s="264"/>
      <c r="J173" s="264"/>
      <c r="K173" s="266">
        <f t="shared" si="5"/>
        <v>0</v>
      </c>
      <c r="L173" s="264"/>
      <c r="M173" s="264"/>
      <c r="N173" s="264"/>
      <c r="O173" s="264"/>
      <c r="P173" s="265"/>
      <c r="Q173" s="265"/>
      <c r="R173" s="264"/>
      <c r="S173" s="264"/>
      <c r="T173" s="264"/>
      <c r="U173" s="266">
        <f t="shared" si="6"/>
        <v>0</v>
      </c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F173" s="264"/>
      <c r="AG173" s="264"/>
      <c r="AH173" s="264"/>
      <c r="AI173" s="264"/>
      <c r="AJ173" s="264">
        <v>599.95000000000005</v>
      </c>
      <c r="AK173" s="264"/>
      <c r="AL173" s="264">
        <f t="shared" si="7"/>
        <v>0</v>
      </c>
      <c r="AM173" s="255"/>
      <c r="AN173" s="255"/>
    </row>
    <row r="174" spans="1:40" x14ac:dyDescent="0.35">
      <c r="A174" s="261">
        <v>42719</v>
      </c>
      <c r="B174" s="262">
        <v>1468</v>
      </c>
      <c r="C174" s="263" t="s">
        <v>197</v>
      </c>
      <c r="D174" s="263" t="s">
        <v>421</v>
      </c>
      <c r="E174" s="267">
        <v>44.99</v>
      </c>
      <c r="F174" s="270">
        <v>7.5</v>
      </c>
      <c r="G174" s="264"/>
      <c r="H174" s="264"/>
      <c r="I174" s="264"/>
      <c r="J174" s="264"/>
      <c r="K174" s="266">
        <f t="shared" si="5"/>
        <v>0</v>
      </c>
      <c r="L174" s="264">
        <v>37.49</v>
      </c>
      <c r="M174" s="264"/>
      <c r="N174" s="264"/>
      <c r="O174" s="264"/>
      <c r="P174" s="265"/>
      <c r="Q174" s="265"/>
      <c r="R174" s="264"/>
      <c r="S174" s="264"/>
      <c r="T174" s="264"/>
      <c r="U174" s="266">
        <f t="shared" si="6"/>
        <v>37.49</v>
      </c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>
        <f t="shared" si="7"/>
        <v>0</v>
      </c>
      <c r="AM174" s="255"/>
      <c r="AN174" s="255"/>
    </row>
    <row r="175" spans="1:40" ht="23.25" x14ac:dyDescent="0.5">
      <c r="A175" s="261">
        <v>42738</v>
      </c>
      <c r="B175" s="262" t="s">
        <v>157</v>
      </c>
      <c r="C175" s="252" t="s">
        <v>242</v>
      </c>
      <c r="D175" s="263" t="s">
        <v>426</v>
      </c>
      <c r="E175" s="269">
        <v>1000</v>
      </c>
      <c r="F175" s="272">
        <v>166.67</v>
      </c>
      <c r="G175" s="245"/>
      <c r="H175" s="245"/>
      <c r="I175" s="245"/>
      <c r="J175" s="245"/>
      <c r="K175" s="245"/>
      <c r="L175" s="259"/>
      <c r="M175" s="259"/>
      <c r="N175" s="259"/>
      <c r="O175" s="259"/>
      <c r="P175" s="264"/>
      <c r="Q175" s="259"/>
      <c r="R175" s="259"/>
      <c r="S175" s="259"/>
      <c r="T175" s="259"/>
      <c r="U175" s="266">
        <f>+L175+M175+O175+P175+Q175+S175+T175</f>
        <v>0</v>
      </c>
      <c r="V175" s="259"/>
      <c r="W175" s="264"/>
      <c r="X175" s="259"/>
      <c r="Y175" s="259"/>
      <c r="Z175" s="264">
        <v>833.33</v>
      </c>
      <c r="AA175" s="259"/>
      <c r="AB175" s="259"/>
      <c r="AC175" s="259"/>
      <c r="AD175" s="259"/>
      <c r="AE175" s="259"/>
      <c r="AF175" s="259"/>
      <c r="AG175" s="264"/>
      <c r="AH175" s="264"/>
      <c r="AI175" s="259"/>
      <c r="AJ175" s="264"/>
      <c r="AK175" s="259"/>
      <c r="AL175" s="264">
        <f t="shared" si="7"/>
        <v>0</v>
      </c>
    </row>
    <row r="176" spans="1:40" x14ac:dyDescent="0.35">
      <c r="A176" s="261">
        <v>42740</v>
      </c>
      <c r="B176" s="262" t="s">
        <v>157</v>
      </c>
      <c r="C176" s="252" t="s">
        <v>248</v>
      </c>
      <c r="D176" s="252" t="s">
        <v>249</v>
      </c>
      <c r="E176" s="269">
        <v>41.23</v>
      </c>
      <c r="F176" s="266">
        <v>6.87</v>
      </c>
      <c r="G176" s="265"/>
      <c r="H176" s="265"/>
      <c r="I176" s="265"/>
      <c r="J176" s="265"/>
      <c r="K176" s="266">
        <f>H176+I176+J176</f>
        <v>0</v>
      </c>
      <c r="L176" s="265"/>
      <c r="M176" s="265"/>
      <c r="N176" s="265"/>
      <c r="O176" s="265"/>
      <c r="P176" s="265">
        <v>34.36</v>
      </c>
      <c r="Q176" s="265"/>
      <c r="R176" s="264"/>
      <c r="S176" s="264"/>
      <c r="T176" s="264"/>
      <c r="U176" s="266">
        <f>+L176+M176+O176+P176+Q176+S176+T176</f>
        <v>34.36</v>
      </c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F176" s="264"/>
      <c r="AG176" s="264"/>
      <c r="AH176" s="264"/>
      <c r="AI176" s="264"/>
      <c r="AJ176" s="264"/>
      <c r="AK176" s="264"/>
      <c r="AL176" s="264">
        <f t="shared" si="7"/>
        <v>7.1054273576010019E-15</v>
      </c>
      <c r="AM176" s="255"/>
      <c r="AN176" s="255"/>
    </row>
    <row r="177" spans="1:40" x14ac:dyDescent="0.35">
      <c r="A177" s="261">
        <v>42744</v>
      </c>
      <c r="B177" s="262" t="s">
        <v>157</v>
      </c>
      <c r="C177" s="271" t="s">
        <v>199</v>
      </c>
      <c r="D177" s="271" t="s">
        <v>200</v>
      </c>
      <c r="E177" s="269">
        <v>8</v>
      </c>
      <c r="F177" s="266"/>
      <c r="G177" s="264"/>
      <c r="H177" s="264"/>
      <c r="I177" s="264"/>
      <c r="J177" s="264"/>
      <c r="K177" s="266">
        <f t="shared" ref="K177:K191" si="8">H177+I177+J177</f>
        <v>0</v>
      </c>
      <c r="L177" s="264">
        <v>8</v>
      </c>
      <c r="M177" s="264"/>
      <c r="N177" s="264"/>
      <c r="O177" s="264"/>
      <c r="P177" s="265"/>
      <c r="Q177" s="265"/>
      <c r="R177" s="264"/>
      <c r="S177" s="264"/>
      <c r="T177" s="264"/>
      <c r="U177" s="266">
        <f t="shared" ref="U177:U191" si="9">+L177+M177+O177+P177+Q177+S177+T177</f>
        <v>8</v>
      </c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>
        <f t="shared" si="7"/>
        <v>0</v>
      </c>
      <c r="AM177" s="255"/>
      <c r="AN177" s="255"/>
    </row>
    <row r="178" spans="1:40" x14ac:dyDescent="0.35">
      <c r="A178" s="261">
        <v>42745</v>
      </c>
      <c r="B178" s="262">
        <v>1469</v>
      </c>
      <c r="C178" s="252" t="s">
        <v>244</v>
      </c>
      <c r="D178" s="263" t="s">
        <v>392</v>
      </c>
      <c r="E178" s="269">
        <v>18.54</v>
      </c>
      <c r="F178" s="266">
        <v>3.09</v>
      </c>
      <c r="G178" s="264"/>
      <c r="H178" s="264"/>
      <c r="I178" s="264"/>
      <c r="J178" s="264"/>
      <c r="K178" s="266">
        <f t="shared" si="8"/>
        <v>0</v>
      </c>
      <c r="L178" s="264"/>
      <c r="M178" s="264"/>
      <c r="N178" s="264"/>
      <c r="O178" s="264"/>
      <c r="P178" s="265"/>
      <c r="Q178" s="265">
        <v>15.45</v>
      </c>
      <c r="R178" s="264"/>
      <c r="S178" s="264"/>
      <c r="T178" s="264"/>
      <c r="U178" s="266">
        <f t="shared" si="9"/>
        <v>15.45</v>
      </c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>
        <f t="shared" si="7"/>
        <v>-3.5527136788005009E-15</v>
      </c>
      <c r="AM178" s="255"/>
      <c r="AN178" s="255"/>
    </row>
    <row r="179" spans="1:40" x14ac:dyDescent="0.35">
      <c r="A179" s="261">
        <v>42745</v>
      </c>
      <c r="B179" s="262">
        <v>1470</v>
      </c>
      <c r="C179" s="263" t="s">
        <v>340</v>
      </c>
      <c r="D179" s="263" t="s">
        <v>427</v>
      </c>
      <c r="E179" s="269">
        <v>1877.5</v>
      </c>
      <c r="F179" s="266">
        <v>312.92</v>
      </c>
      <c r="G179" s="264"/>
      <c r="H179" s="264"/>
      <c r="I179" s="264"/>
      <c r="J179" s="264"/>
      <c r="K179" s="266">
        <f t="shared" si="8"/>
        <v>0</v>
      </c>
      <c r="L179" s="264"/>
      <c r="M179" s="264"/>
      <c r="N179" s="264"/>
      <c r="O179" s="264"/>
      <c r="P179" s="265"/>
      <c r="Q179" s="265"/>
      <c r="R179" s="264"/>
      <c r="S179" s="264"/>
      <c r="T179" s="264"/>
      <c r="U179" s="266">
        <f t="shared" si="9"/>
        <v>0</v>
      </c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/>
      <c r="AF179" s="264"/>
      <c r="AG179" s="264">
        <v>1564.58</v>
      </c>
      <c r="AH179" s="264"/>
      <c r="AI179" s="264"/>
      <c r="AJ179" s="264"/>
      <c r="AK179" s="264"/>
      <c r="AL179" s="264">
        <f t="shared" si="7"/>
        <v>0</v>
      </c>
      <c r="AM179" s="255"/>
      <c r="AN179" s="255"/>
    </row>
    <row r="180" spans="1:40" x14ac:dyDescent="0.35">
      <c r="A180" s="261">
        <v>42745</v>
      </c>
      <c r="B180" s="262">
        <v>1471</v>
      </c>
      <c r="C180" s="263" t="s">
        <v>219</v>
      </c>
      <c r="D180" s="263" t="s">
        <v>428</v>
      </c>
      <c r="E180" s="269">
        <v>36.520000000000003</v>
      </c>
      <c r="F180" s="266">
        <v>6.09</v>
      </c>
      <c r="G180" s="264"/>
      <c r="H180" s="264"/>
      <c r="I180" s="264"/>
      <c r="J180" s="264"/>
      <c r="K180" s="266">
        <f t="shared" si="8"/>
        <v>0</v>
      </c>
      <c r="L180" s="264"/>
      <c r="M180" s="264"/>
      <c r="N180" s="264"/>
      <c r="O180" s="264"/>
      <c r="P180" s="265"/>
      <c r="Q180" s="265">
        <v>30.43</v>
      </c>
      <c r="R180" s="264"/>
      <c r="S180" s="264"/>
      <c r="T180" s="264"/>
      <c r="U180" s="266">
        <f t="shared" si="9"/>
        <v>30.43</v>
      </c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4">
        <f t="shared" si="7"/>
        <v>0</v>
      </c>
      <c r="AM180" s="255"/>
      <c r="AN180" s="255"/>
    </row>
    <row r="181" spans="1:40" x14ac:dyDescent="0.35">
      <c r="A181" s="261">
        <v>42745</v>
      </c>
      <c r="B181" s="262">
        <v>1472</v>
      </c>
      <c r="C181" s="252" t="s">
        <v>197</v>
      </c>
      <c r="D181" s="252" t="s">
        <v>429</v>
      </c>
      <c r="E181" s="269">
        <v>11.98</v>
      </c>
      <c r="F181" s="266">
        <v>2</v>
      </c>
      <c r="G181" s="264"/>
      <c r="H181" s="264"/>
      <c r="I181" s="264"/>
      <c r="J181" s="264"/>
      <c r="K181" s="266">
        <f t="shared" si="8"/>
        <v>0</v>
      </c>
      <c r="L181" s="264"/>
      <c r="M181" s="264"/>
      <c r="N181" s="264"/>
      <c r="O181" s="264"/>
      <c r="P181" s="265">
        <v>9.98</v>
      </c>
      <c r="Q181" s="265"/>
      <c r="R181" s="264"/>
      <c r="S181" s="264"/>
      <c r="T181" s="264"/>
      <c r="U181" s="266">
        <f t="shared" si="9"/>
        <v>9.98</v>
      </c>
      <c r="V181" s="264"/>
      <c r="W181" s="264"/>
      <c r="X181" s="264"/>
      <c r="Y181" s="264"/>
      <c r="Z181" s="264"/>
      <c r="AA181" s="264"/>
      <c r="AB181" s="264"/>
      <c r="AC181" s="264"/>
      <c r="AD181" s="264"/>
      <c r="AE181" s="264"/>
      <c r="AF181" s="264"/>
      <c r="AG181" s="264"/>
      <c r="AH181" s="264"/>
      <c r="AI181" s="264"/>
      <c r="AJ181" s="264"/>
      <c r="AK181" s="264"/>
      <c r="AL181" s="264">
        <f t="shared" si="7"/>
        <v>0</v>
      </c>
      <c r="AM181" s="255"/>
      <c r="AN181" s="255"/>
    </row>
    <row r="182" spans="1:40" x14ac:dyDescent="0.35">
      <c r="A182" s="261">
        <v>42745</v>
      </c>
      <c r="B182" s="262">
        <v>1473</v>
      </c>
      <c r="C182" s="263" t="s">
        <v>167</v>
      </c>
      <c r="D182" s="263" t="s">
        <v>430</v>
      </c>
      <c r="E182" s="269">
        <v>146</v>
      </c>
      <c r="F182" s="266"/>
      <c r="G182" s="264"/>
      <c r="H182" s="264"/>
      <c r="I182" s="264"/>
      <c r="J182" s="264"/>
      <c r="K182" s="266">
        <f t="shared" si="8"/>
        <v>0</v>
      </c>
      <c r="L182" s="264"/>
      <c r="M182" s="264">
        <v>96</v>
      </c>
      <c r="N182" s="264"/>
      <c r="O182" s="264"/>
      <c r="P182" s="265"/>
      <c r="Q182" s="265"/>
      <c r="R182" s="264"/>
      <c r="S182" s="264"/>
      <c r="T182" s="264"/>
      <c r="U182" s="266">
        <f t="shared" si="9"/>
        <v>96</v>
      </c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264"/>
      <c r="AF182" s="264"/>
      <c r="AG182" s="264"/>
      <c r="AH182" s="264"/>
      <c r="AI182" s="264"/>
      <c r="AJ182" s="264">
        <v>50</v>
      </c>
      <c r="AK182" s="264"/>
      <c r="AL182" s="264">
        <f t="shared" si="7"/>
        <v>0</v>
      </c>
      <c r="AM182" s="255"/>
      <c r="AN182" s="255"/>
    </row>
    <row r="183" spans="1:40" x14ac:dyDescent="0.35">
      <c r="A183" s="261">
        <v>42751</v>
      </c>
      <c r="B183" s="262">
        <v>1474</v>
      </c>
      <c r="C183" s="252" t="s">
        <v>431</v>
      </c>
      <c r="D183" s="263" t="s">
        <v>432</v>
      </c>
      <c r="E183" s="269">
        <v>772.6</v>
      </c>
      <c r="F183" s="266"/>
      <c r="G183" s="264"/>
      <c r="H183" s="264"/>
      <c r="I183" s="264"/>
      <c r="J183" s="264"/>
      <c r="K183" s="266">
        <f t="shared" si="8"/>
        <v>0</v>
      </c>
      <c r="L183" s="264"/>
      <c r="M183" s="264"/>
      <c r="N183" s="264"/>
      <c r="O183" s="264"/>
      <c r="P183" s="265"/>
      <c r="Q183" s="265"/>
      <c r="R183" s="264"/>
      <c r="S183" s="264"/>
      <c r="T183" s="264"/>
      <c r="U183" s="266">
        <f t="shared" si="9"/>
        <v>0</v>
      </c>
      <c r="V183" s="264"/>
      <c r="W183" s="264"/>
      <c r="X183" s="264"/>
      <c r="Y183" s="264">
        <v>772.6</v>
      </c>
      <c r="Z183" s="264"/>
      <c r="AA183" s="264"/>
      <c r="AB183" s="264"/>
      <c r="AC183" s="264"/>
      <c r="AD183" s="264"/>
      <c r="AE183" s="264"/>
      <c r="AF183" s="264"/>
      <c r="AG183" s="264"/>
      <c r="AH183" s="264"/>
      <c r="AI183" s="264"/>
      <c r="AJ183" s="264"/>
      <c r="AK183" s="264"/>
      <c r="AL183" s="264">
        <f t="shared" si="7"/>
        <v>0</v>
      </c>
      <c r="AM183" s="255"/>
      <c r="AN183" s="255"/>
    </row>
    <row r="184" spans="1:40" x14ac:dyDescent="0.35">
      <c r="A184" s="261">
        <v>42748</v>
      </c>
      <c r="B184" s="262" t="s">
        <v>157</v>
      </c>
      <c r="C184" s="263" t="s">
        <v>296</v>
      </c>
      <c r="D184" s="263" t="s">
        <v>253</v>
      </c>
      <c r="E184" s="269">
        <v>5</v>
      </c>
      <c r="F184" s="266">
        <v>0.84</v>
      </c>
      <c r="G184" s="264"/>
      <c r="H184" s="264"/>
      <c r="I184" s="264"/>
      <c r="J184" s="264"/>
      <c r="K184" s="266">
        <f t="shared" si="8"/>
        <v>0</v>
      </c>
      <c r="L184" s="264"/>
      <c r="M184" s="264"/>
      <c r="N184" s="264"/>
      <c r="O184" s="264"/>
      <c r="P184" s="264">
        <v>4.16</v>
      </c>
      <c r="Q184" s="264"/>
      <c r="R184" s="264"/>
      <c r="S184" s="264"/>
      <c r="T184" s="264"/>
      <c r="U184" s="266">
        <f t="shared" si="9"/>
        <v>4.16</v>
      </c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64">
        <f t="shared" si="7"/>
        <v>0</v>
      </c>
      <c r="AM184" s="255"/>
      <c r="AN184" s="255"/>
    </row>
    <row r="185" spans="1:40" x14ac:dyDescent="0.35">
      <c r="A185" s="261">
        <v>42759</v>
      </c>
      <c r="B185" s="262">
        <v>1475</v>
      </c>
      <c r="C185" s="263" t="s">
        <v>197</v>
      </c>
      <c r="D185" s="263" t="s">
        <v>433</v>
      </c>
      <c r="E185" s="269">
        <v>595.35</v>
      </c>
      <c r="F185" s="266"/>
      <c r="G185" s="264"/>
      <c r="H185" s="264">
        <v>595.35</v>
      </c>
      <c r="I185" s="264"/>
      <c r="J185" s="264"/>
      <c r="K185" s="266">
        <f t="shared" si="8"/>
        <v>595.35</v>
      </c>
      <c r="L185" s="264"/>
      <c r="M185" s="264"/>
      <c r="N185" s="264"/>
      <c r="O185" s="264"/>
      <c r="P185" s="264"/>
      <c r="Q185" s="264"/>
      <c r="R185" s="264"/>
      <c r="S185" s="264"/>
      <c r="T185" s="264"/>
      <c r="U185" s="266">
        <f t="shared" si="9"/>
        <v>0</v>
      </c>
      <c r="V185" s="264"/>
      <c r="W185" s="264"/>
      <c r="X185" s="264"/>
      <c r="Y185" s="264"/>
      <c r="Z185" s="264"/>
      <c r="AA185" s="264"/>
      <c r="AB185" s="264"/>
      <c r="AC185" s="264"/>
      <c r="AD185" s="264"/>
      <c r="AE185" s="264"/>
      <c r="AF185" s="264"/>
      <c r="AG185" s="264"/>
      <c r="AH185" s="264"/>
      <c r="AI185" s="264"/>
      <c r="AJ185" s="264"/>
      <c r="AK185" s="264"/>
      <c r="AL185" s="264">
        <f t="shared" si="7"/>
        <v>0</v>
      </c>
      <c r="AM185" s="255"/>
      <c r="AN185" s="255"/>
    </row>
    <row r="186" spans="1:40" x14ac:dyDescent="0.35">
      <c r="A186" s="261">
        <v>42759</v>
      </c>
      <c r="B186" s="262">
        <v>1476</v>
      </c>
      <c r="C186" s="263" t="s">
        <v>344</v>
      </c>
      <c r="D186" s="263" t="s">
        <v>222</v>
      </c>
      <c r="E186" s="269">
        <v>532</v>
      </c>
      <c r="F186" s="270"/>
      <c r="G186" s="264"/>
      <c r="H186" s="264">
        <v>477.27</v>
      </c>
      <c r="I186" s="264">
        <v>54.73</v>
      </c>
      <c r="J186" s="264"/>
      <c r="K186" s="266">
        <f t="shared" si="8"/>
        <v>532</v>
      </c>
      <c r="L186" s="264"/>
      <c r="M186" s="264"/>
      <c r="N186" s="264"/>
      <c r="O186" s="264"/>
      <c r="P186" s="264"/>
      <c r="Q186" s="264"/>
      <c r="R186" s="264"/>
      <c r="S186" s="264"/>
      <c r="T186" s="264"/>
      <c r="U186" s="266">
        <f t="shared" si="9"/>
        <v>0</v>
      </c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  <c r="AF186" s="264"/>
      <c r="AG186" s="264"/>
      <c r="AH186" s="264"/>
      <c r="AI186" s="264"/>
      <c r="AJ186" s="264"/>
      <c r="AK186" s="264"/>
      <c r="AL186" s="264">
        <f t="shared" si="7"/>
        <v>0</v>
      </c>
      <c r="AM186" s="255"/>
      <c r="AN186" s="255"/>
    </row>
    <row r="187" spans="1:40" x14ac:dyDescent="0.35">
      <c r="A187" s="261">
        <v>42759</v>
      </c>
      <c r="B187" s="262">
        <v>1477</v>
      </c>
      <c r="C187" s="252" t="s">
        <v>167</v>
      </c>
      <c r="D187" s="263" t="s">
        <v>434</v>
      </c>
      <c r="E187" s="269">
        <v>200</v>
      </c>
      <c r="F187" s="270"/>
      <c r="G187" s="264"/>
      <c r="H187" s="274"/>
      <c r="I187" s="264"/>
      <c r="J187" s="264"/>
      <c r="K187" s="266">
        <f t="shared" si="8"/>
        <v>0</v>
      </c>
      <c r="L187" s="264"/>
      <c r="M187" s="264"/>
      <c r="N187" s="264"/>
      <c r="O187" s="264"/>
      <c r="P187" s="264"/>
      <c r="Q187" s="264"/>
      <c r="R187" s="264"/>
      <c r="S187" s="264"/>
      <c r="T187" s="264"/>
      <c r="U187" s="266">
        <f t="shared" si="9"/>
        <v>0</v>
      </c>
      <c r="V187" s="264"/>
      <c r="W187" s="264"/>
      <c r="X187" s="264"/>
      <c r="Y187" s="264"/>
      <c r="Z187" s="264"/>
      <c r="AA187" s="264"/>
      <c r="AB187" s="264"/>
      <c r="AC187" s="264"/>
      <c r="AD187" s="264"/>
      <c r="AE187" s="264"/>
      <c r="AF187" s="264"/>
      <c r="AG187" s="264"/>
      <c r="AH187" s="264"/>
      <c r="AI187" s="264"/>
      <c r="AJ187" s="264">
        <v>200</v>
      </c>
      <c r="AK187" s="264"/>
      <c r="AL187" s="264">
        <f t="shared" si="7"/>
        <v>0</v>
      </c>
      <c r="AM187" s="255"/>
      <c r="AN187" s="255"/>
    </row>
    <row r="188" spans="1:40" x14ac:dyDescent="0.35">
      <c r="A188" s="261">
        <v>42759</v>
      </c>
      <c r="B188" s="262">
        <v>1478</v>
      </c>
      <c r="C188" s="252" t="s">
        <v>167</v>
      </c>
      <c r="D188" s="263" t="s">
        <v>435</v>
      </c>
      <c r="E188" s="273">
        <v>48</v>
      </c>
      <c r="F188" s="270"/>
      <c r="G188" s="264"/>
      <c r="H188" s="274"/>
      <c r="I188" s="264"/>
      <c r="J188" s="264"/>
      <c r="K188" s="266">
        <f t="shared" si="8"/>
        <v>0</v>
      </c>
      <c r="L188" s="264"/>
      <c r="M188" s="264">
        <v>48</v>
      </c>
      <c r="N188" s="264"/>
      <c r="O188" s="264"/>
      <c r="P188" s="264"/>
      <c r="Q188" s="264"/>
      <c r="R188" s="264"/>
      <c r="S188" s="264"/>
      <c r="T188" s="264"/>
      <c r="U188" s="266">
        <f t="shared" si="9"/>
        <v>48</v>
      </c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4">
        <f t="shared" si="7"/>
        <v>0</v>
      </c>
      <c r="AM188" s="255"/>
      <c r="AN188" s="255"/>
    </row>
    <row r="189" spans="1:40" x14ac:dyDescent="0.35">
      <c r="A189" s="261">
        <v>42765</v>
      </c>
      <c r="B189" s="262">
        <v>1479</v>
      </c>
      <c r="C189" s="263" t="s">
        <v>219</v>
      </c>
      <c r="D189" s="263" t="s">
        <v>436</v>
      </c>
      <c r="E189" s="267">
        <v>7.07</v>
      </c>
      <c r="F189" s="270">
        <v>1.18</v>
      </c>
      <c r="G189" s="264"/>
      <c r="H189" s="274"/>
      <c r="I189" s="264"/>
      <c r="J189" s="264"/>
      <c r="K189" s="266">
        <f t="shared" si="8"/>
        <v>0</v>
      </c>
      <c r="L189" s="264"/>
      <c r="M189" s="264"/>
      <c r="N189" s="264"/>
      <c r="O189" s="264"/>
      <c r="P189" s="264"/>
      <c r="Q189" s="264">
        <v>5.89</v>
      </c>
      <c r="R189" s="264"/>
      <c r="S189" s="264"/>
      <c r="T189" s="264"/>
      <c r="U189" s="266">
        <f t="shared" si="9"/>
        <v>5.89</v>
      </c>
      <c r="V189" s="264"/>
      <c r="W189" s="264"/>
      <c r="X189" s="264"/>
      <c r="Y189" s="264"/>
      <c r="Z189" s="264"/>
      <c r="AA189" s="264"/>
      <c r="AB189" s="264"/>
      <c r="AC189" s="264"/>
      <c r="AD189" s="264"/>
      <c r="AE189" s="264"/>
      <c r="AF189" s="264"/>
      <c r="AG189" s="264"/>
      <c r="AH189" s="264"/>
      <c r="AI189" s="264"/>
      <c r="AJ189" s="264"/>
      <c r="AK189" s="264"/>
      <c r="AL189" s="264">
        <f t="shared" si="7"/>
        <v>-8.8817841970012523E-16</v>
      </c>
      <c r="AM189" s="255"/>
      <c r="AN189" s="255"/>
    </row>
    <row r="190" spans="1:40" x14ac:dyDescent="0.35">
      <c r="A190" s="261">
        <v>42765</v>
      </c>
      <c r="B190" s="262">
        <v>1480</v>
      </c>
      <c r="C190" s="263" t="s">
        <v>197</v>
      </c>
      <c r="D190" s="252" t="s">
        <v>429</v>
      </c>
      <c r="E190" s="267">
        <v>11.98</v>
      </c>
      <c r="F190" s="270">
        <v>2</v>
      </c>
      <c r="G190" s="264"/>
      <c r="H190" s="275"/>
      <c r="I190" s="264"/>
      <c r="J190" s="264"/>
      <c r="K190" s="266">
        <f t="shared" si="8"/>
        <v>0</v>
      </c>
      <c r="L190" s="264"/>
      <c r="M190" s="264"/>
      <c r="N190" s="264"/>
      <c r="O190" s="264"/>
      <c r="P190" s="264">
        <v>9.98</v>
      </c>
      <c r="Q190" s="264"/>
      <c r="R190" s="264"/>
      <c r="S190" s="264"/>
      <c r="T190" s="264"/>
      <c r="U190" s="266">
        <f t="shared" si="9"/>
        <v>9.98</v>
      </c>
      <c r="V190" s="264"/>
      <c r="W190" s="264"/>
      <c r="X190" s="264"/>
      <c r="Y190" s="264"/>
      <c r="Z190" s="264"/>
      <c r="AA190" s="264"/>
      <c r="AB190" s="264"/>
      <c r="AC190" s="264"/>
      <c r="AD190" s="264"/>
      <c r="AE190" s="264"/>
      <c r="AF190" s="264"/>
      <c r="AG190" s="264"/>
      <c r="AH190" s="264"/>
      <c r="AI190" s="264"/>
      <c r="AJ190" s="264"/>
      <c r="AK190" s="264"/>
      <c r="AL190" s="264">
        <f t="shared" si="7"/>
        <v>0</v>
      </c>
      <c r="AM190" s="255"/>
      <c r="AN190" s="255"/>
    </row>
    <row r="191" spans="1:40" x14ac:dyDescent="0.35">
      <c r="A191" s="261">
        <v>42766</v>
      </c>
      <c r="B191" s="262" t="s">
        <v>157</v>
      </c>
      <c r="C191" s="263" t="s">
        <v>242</v>
      </c>
      <c r="D191" s="263" t="s">
        <v>437</v>
      </c>
      <c r="E191" s="264">
        <v>1000</v>
      </c>
      <c r="F191" s="270">
        <v>166.67</v>
      </c>
      <c r="G191" s="264"/>
      <c r="H191" s="274"/>
      <c r="I191" s="264"/>
      <c r="J191" s="264"/>
      <c r="K191" s="266">
        <f t="shared" si="8"/>
        <v>0</v>
      </c>
      <c r="L191" s="264"/>
      <c r="M191" s="264"/>
      <c r="N191" s="264"/>
      <c r="O191" s="264"/>
      <c r="P191" s="265"/>
      <c r="Q191" s="265"/>
      <c r="R191" s="264"/>
      <c r="S191" s="264"/>
      <c r="T191" s="264"/>
      <c r="U191" s="266">
        <f t="shared" si="9"/>
        <v>0</v>
      </c>
      <c r="V191" s="264"/>
      <c r="W191" s="264"/>
      <c r="X191" s="264"/>
      <c r="Y191" s="264"/>
      <c r="Z191" s="264">
        <v>833.33</v>
      </c>
      <c r="AA191" s="264"/>
      <c r="AB191" s="264"/>
      <c r="AC191" s="264"/>
      <c r="AD191" s="264"/>
      <c r="AE191" s="264"/>
      <c r="AF191" s="264"/>
      <c r="AG191" s="264"/>
      <c r="AH191" s="264"/>
      <c r="AI191" s="264"/>
      <c r="AJ191" s="264"/>
      <c r="AK191" s="264"/>
      <c r="AL191" s="264">
        <f t="shared" si="7"/>
        <v>0</v>
      </c>
      <c r="AM191" s="255"/>
      <c r="AN191" s="255"/>
    </row>
    <row r="192" spans="1:40" ht="23.25" x14ac:dyDescent="0.5">
      <c r="A192" s="261">
        <v>42772</v>
      </c>
      <c r="B192" s="262" t="s">
        <v>157</v>
      </c>
      <c r="C192" s="252" t="s">
        <v>248</v>
      </c>
      <c r="D192" s="252" t="s">
        <v>249</v>
      </c>
      <c r="E192" s="269">
        <v>39.58</v>
      </c>
      <c r="F192" s="272">
        <v>6.6</v>
      </c>
      <c r="G192" s="245"/>
      <c r="H192" s="245"/>
      <c r="I192" s="245"/>
      <c r="J192" s="245"/>
      <c r="K192" s="245"/>
      <c r="L192" s="259"/>
      <c r="M192" s="259"/>
      <c r="N192" s="259"/>
      <c r="O192" s="259"/>
      <c r="P192" s="264">
        <v>32.979999999999997</v>
      </c>
      <c r="Q192" s="259"/>
      <c r="R192" s="259"/>
      <c r="S192" s="259"/>
      <c r="T192" s="259"/>
      <c r="U192" s="266">
        <f>+L192+M192+O192+P192+Q192+S192+T192</f>
        <v>32.979999999999997</v>
      </c>
      <c r="V192" s="259"/>
      <c r="W192" s="264"/>
      <c r="X192" s="259"/>
      <c r="Y192" s="259"/>
      <c r="Z192" s="264"/>
      <c r="AA192" s="259"/>
      <c r="AB192" s="259"/>
      <c r="AC192" s="259"/>
      <c r="AD192" s="259"/>
      <c r="AE192" s="259"/>
      <c r="AF192" s="259"/>
      <c r="AG192" s="264"/>
      <c r="AH192" s="264"/>
      <c r="AI192" s="259"/>
      <c r="AJ192" s="264"/>
      <c r="AK192" s="259"/>
      <c r="AL192" s="264">
        <f t="shared" si="7"/>
        <v>-7.1054273576010019E-15</v>
      </c>
    </row>
    <row r="193" spans="1:40" x14ac:dyDescent="0.35">
      <c r="A193" s="261">
        <v>42772</v>
      </c>
      <c r="B193" s="262">
        <v>1481</v>
      </c>
      <c r="C193" s="263" t="s">
        <v>340</v>
      </c>
      <c r="D193" s="263" t="s">
        <v>438</v>
      </c>
      <c r="E193" s="269">
        <v>1877.5</v>
      </c>
      <c r="F193" s="266">
        <v>312.92</v>
      </c>
      <c r="G193" s="265"/>
      <c r="H193" s="265"/>
      <c r="I193" s="265"/>
      <c r="J193" s="265"/>
      <c r="K193" s="266">
        <f>H193+I193+J193</f>
        <v>0</v>
      </c>
      <c r="L193" s="265"/>
      <c r="M193" s="265"/>
      <c r="N193" s="265"/>
      <c r="O193" s="265"/>
      <c r="P193" s="265"/>
      <c r="Q193" s="265"/>
      <c r="R193" s="264"/>
      <c r="S193" s="264"/>
      <c r="T193" s="264"/>
      <c r="U193" s="266">
        <f>+L193+M193+O193+P193+Q193+S193+T193</f>
        <v>0</v>
      </c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264">
        <f t="shared" si="7"/>
        <v>-1564.58</v>
      </c>
      <c r="AM193" s="255"/>
      <c r="AN193" s="255"/>
    </row>
    <row r="194" spans="1:40" x14ac:dyDescent="0.35">
      <c r="A194" s="261">
        <v>42773</v>
      </c>
      <c r="B194" s="262" t="s">
        <v>157</v>
      </c>
      <c r="C194" s="263" t="s">
        <v>199</v>
      </c>
      <c r="D194" s="263" t="s">
        <v>200</v>
      </c>
      <c r="E194" s="269">
        <v>8</v>
      </c>
      <c r="F194" s="266"/>
      <c r="G194" s="265"/>
      <c r="H194" s="265"/>
      <c r="I194" s="265"/>
      <c r="J194" s="265"/>
      <c r="K194" s="266"/>
      <c r="L194" s="265">
        <v>8</v>
      </c>
      <c r="M194" s="265"/>
      <c r="N194" s="265"/>
      <c r="O194" s="265"/>
      <c r="P194" s="265"/>
      <c r="Q194" s="265"/>
      <c r="R194" s="264"/>
      <c r="S194" s="264"/>
      <c r="T194" s="264"/>
      <c r="U194" s="266">
        <f>+L194+M194+O194+P194+Q194+S194+T194</f>
        <v>8</v>
      </c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264">
        <f t="shared" si="7"/>
        <v>0</v>
      </c>
      <c r="AM194" s="255"/>
      <c r="AN194" s="255"/>
    </row>
    <row r="195" spans="1:40" x14ac:dyDescent="0.35">
      <c r="A195" s="261">
        <v>42779</v>
      </c>
      <c r="B195" s="262">
        <v>1482</v>
      </c>
      <c r="C195" s="252" t="s">
        <v>197</v>
      </c>
      <c r="D195" s="263" t="s">
        <v>439</v>
      </c>
      <c r="E195" s="269">
        <v>368.34</v>
      </c>
      <c r="F195" s="266"/>
      <c r="G195" s="264"/>
      <c r="H195" s="264">
        <v>368.34</v>
      </c>
      <c r="I195" s="264"/>
      <c r="J195" s="264"/>
      <c r="K195" s="266">
        <f t="shared" ref="K195:K211" si="10">H195+I195+J195</f>
        <v>368.34</v>
      </c>
      <c r="L195" s="264"/>
      <c r="M195" s="264"/>
      <c r="N195" s="264"/>
      <c r="O195" s="264"/>
      <c r="P195" s="265"/>
      <c r="Q195" s="265"/>
      <c r="R195" s="264"/>
      <c r="S195" s="264"/>
      <c r="T195" s="264"/>
      <c r="U195" s="266">
        <f>+L195+M195+O195+P195+Q195+S195+T195</f>
        <v>0</v>
      </c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>
        <v>1564.58</v>
      </c>
      <c r="AH195" s="264"/>
      <c r="AI195" s="264"/>
      <c r="AJ195" s="264"/>
      <c r="AK195" s="264"/>
      <c r="AL195" s="264">
        <f t="shared" si="7"/>
        <v>1564.58</v>
      </c>
      <c r="AM195" s="255"/>
      <c r="AN195" s="255"/>
    </row>
    <row r="196" spans="1:40" x14ac:dyDescent="0.35">
      <c r="A196" s="261">
        <v>42779</v>
      </c>
      <c r="B196" s="262">
        <v>1483</v>
      </c>
      <c r="C196" s="252" t="s">
        <v>344</v>
      </c>
      <c r="D196" s="263" t="s">
        <v>222</v>
      </c>
      <c r="E196" s="269">
        <v>245.2</v>
      </c>
      <c r="F196" s="266"/>
      <c r="G196" s="264"/>
      <c r="H196" s="264">
        <v>245.2</v>
      </c>
      <c r="I196" s="264"/>
      <c r="J196" s="264"/>
      <c r="K196" s="266">
        <f t="shared" si="10"/>
        <v>245.2</v>
      </c>
      <c r="L196" s="264"/>
      <c r="M196" s="264"/>
      <c r="N196" s="264"/>
      <c r="O196" s="264"/>
      <c r="P196" s="265"/>
      <c r="Q196" s="265"/>
      <c r="R196" s="264"/>
      <c r="S196" s="264"/>
      <c r="T196" s="264"/>
      <c r="U196" s="266">
        <f t="shared" ref="U196:U203" si="11">+L196+M196+O196+P196+Q196+S196+T196</f>
        <v>0</v>
      </c>
      <c r="V196" s="264"/>
      <c r="W196" s="264"/>
      <c r="X196" s="264"/>
      <c r="Y196" s="264"/>
      <c r="Z196" s="264"/>
      <c r="AA196" s="264"/>
      <c r="AB196" s="264"/>
      <c r="AC196" s="264"/>
      <c r="AD196" s="264"/>
      <c r="AE196" s="264"/>
      <c r="AF196" s="264"/>
      <c r="AG196" s="264"/>
      <c r="AH196" s="264"/>
      <c r="AI196" s="264"/>
      <c r="AJ196" s="264"/>
      <c r="AK196" s="264"/>
      <c r="AL196" s="264">
        <f t="shared" si="7"/>
        <v>0</v>
      </c>
      <c r="AM196" s="255"/>
      <c r="AN196" s="255"/>
    </row>
    <row r="197" spans="1:40" x14ac:dyDescent="0.35">
      <c r="A197" s="261">
        <v>42779</v>
      </c>
      <c r="B197" s="262" t="s">
        <v>157</v>
      </c>
      <c r="C197" s="263" t="s">
        <v>296</v>
      </c>
      <c r="D197" s="263" t="s">
        <v>253</v>
      </c>
      <c r="E197" s="269">
        <v>5</v>
      </c>
      <c r="F197" s="266">
        <v>0.84</v>
      </c>
      <c r="G197" s="264"/>
      <c r="H197" s="264"/>
      <c r="I197" s="264"/>
      <c r="J197" s="264"/>
      <c r="K197" s="266">
        <f t="shared" si="10"/>
        <v>0</v>
      </c>
      <c r="L197" s="264"/>
      <c r="M197" s="264"/>
      <c r="N197" s="264"/>
      <c r="O197" s="264"/>
      <c r="P197" s="265">
        <v>4.16</v>
      </c>
      <c r="Q197" s="265"/>
      <c r="R197" s="264"/>
      <c r="S197" s="264"/>
      <c r="T197" s="264"/>
      <c r="U197" s="266">
        <f t="shared" si="11"/>
        <v>4.16</v>
      </c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/>
      <c r="AF197" s="264"/>
      <c r="AG197" s="264"/>
      <c r="AH197" s="264"/>
      <c r="AI197" s="264"/>
      <c r="AJ197" s="264"/>
      <c r="AK197" s="264"/>
      <c r="AL197" s="264">
        <f t="shared" si="7"/>
        <v>0</v>
      </c>
      <c r="AM197" s="255"/>
      <c r="AN197" s="255"/>
    </row>
    <row r="198" spans="1:40" x14ac:dyDescent="0.35">
      <c r="A198" s="261">
        <v>42781</v>
      </c>
      <c r="B198" s="262">
        <v>1484</v>
      </c>
      <c r="C198" s="276" t="s">
        <v>340</v>
      </c>
      <c r="D198" s="263" t="s">
        <v>440</v>
      </c>
      <c r="E198" s="269">
        <v>1290</v>
      </c>
      <c r="F198" s="266">
        <v>215</v>
      </c>
      <c r="G198" s="264"/>
      <c r="H198" s="264"/>
      <c r="I198" s="264"/>
      <c r="J198" s="264"/>
      <c r="K198" s="266">
        <f t="shared" si="10"/>
        <v>0</v>
      </c>
      <c r="L198" s="264"/>
      <c r="M198" s="264"/>
      <c r="N198" s="264"/>
      <c r="O198" s="264"/>
      <c r="P198" s="265"/>
      <c r="Q198" s="265"/>
      <c r="R198" s="264"/>
      <c r="S198" s="264"/>
      <c r="T198" s="264"/>
      <c r="U198" s="266">
        <f t="shared" si="11"/>
        <v>0</v>
      </c>
      <c r="V198" s="264"/>
      <c r="W198" s="264"/>
      <c r="X198" s="264"/>
      <c r="Y198" s="264"/>
      <c r="Z198" s="264"/>
      <c r="AA198" s="264">
        <v>1075</v>
      </c>
      <c r="AB198" s="264"/>
      <c r="AC198" s="264"/>
      <c r="AD198" s="264"/>
      <c r="AE198" s="264"/>
      <c r="AF198" s="264"/>
      <c r="AG198" s="264"/>
      <c r="AH198" s="264"/>
      <c r="AI198" s="264"/>
      <c r="AJ198" s="264"/>
      <c r="AK198" s="264"/>
      <c r="AL198" s="264">
        <f t="shared" si="7"/>
        <v>0</v>
      </c>
      <c r="AM198" s="255"/>
      <c r="AN198" s="255"/>
    </row>
    <row r="199" spans="1:40" x14ac:dyDescent="0.35">
      <c r="A199" s="261">
        <v>42788</v>
      </c>
      <c r="B199" s="262">
        <v>1485</v>
      </c>
      <c r="C199" s="252" t="s">
        <v>441</v>
      </c>
      <c r="D199" s="252" t="s">
        <v>442</v>
      </c>
      <c r="E199" s="269">
        <v>215</v>
      </c>
      <c r="F199" s="266"/>
      <c r="G199" s="264"/>
      <c r="H199" s="264"/>
      <c r="I199" s="264"/>
      <c r="J199" s="264"/>
      <c r="K199" s="266">
        <f t="shared" si="10"/>
        <v>0</v>
      </c>
      <c r="L199" s="264"/>
      <c r="M199" s="264"/>
      <c r="N199" s="264"/>
      <c r="O199" s="264"/>
      <c r="P199" s="265"/>
      <c r="Q199" s="265">
        <v>215</v>
      </c>
      <c r="R199" s="264"/>
      <c r="S199" s="264"/>
      <c r="T199" s="264"/>
      <c r="U199" s="266">
        <f t="shared" si="11"/>
        <v>215</v>
      </c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/>
      <c r="AF199" s="264"/>
      <c r="AG199" s="264"/>
      <c r="AH199" s="264"/>
      <c r="AI199" s="264"/>
      <c r="AJ199" s="264"/>
      <c r="AK199" s="264"/>
      <c r="AL199" s="264">
        <f t="shared" si="7"/>
        <v>0</v>
      </c>
      <c r="AM199" s="255"/>
      <c r="AN199" s="255"/>
    </row>
    <row r="200" spans="1:40" x14ac:dyDescent="0.35">
      <c r="A200" s="261">
        <v>42788</v>
      </c>
      <c r="B200" s="262">
        <v>1486</v>
      </c>
      <c r="C200" s="263" t="s">
        <v>21</v>
      </c>
      <c r="D200" s="263" t="s">
        <v>443</v>
      </c>
      <c r="E200" s="269">
        <v>128</v>
      </c>
      <c r="F200" s="266"/>
      <c r="G200" s="264"/>
      <c r="H200" s="264"/>
      <c r="I200" s="264"/>
      <c r="J200" s="264"/>
      <c r="K200" s="266">
        <f t="shared" si="10"/>
        <v>0</v>
      </c>
      <c r="L200" s="264"/>
      <c r="M200" s="264">
        <v>128</v>
      </c>
      <c r="N200" s="264"/>
      <c r="O200" s="264"/>
      <c r="P200" s="265"/>
      <c r="Q200" s="265"/>
      <c r="R200" s="264"/>
      <c r="S200" s="264"/>
      <c r="T200" s="264"/>
      <c r="U200" s="266">
        <f t="shared" si="11"/>
        <v>128</v>
      </c>
      <c r="V200" s="264"/>
      <c r="W200" s="264"/>
      <c r="X200" s="264"/>
      <c r="Y200" s="264"/>
      <c r="Z200" s="264"/>
      <c r="AA200" s="264"/>
      <c r="AB200" s="264"/>
      <c r="AC200" s="264"/>
      <c r="AD200" s="264"/>
      <c r="AE200" s="264"/>
      <c r="AF200" s="264"/>
      <c r="AG200" s="264"/>
      <c r="AH200" s="264"/>
      <c r="AI200" s="264"/>
      <c r="AJ200" s="264"/>
      <c r="AK200" s="264"/>
      <c r="AL200" s="264">
        <f t="shared" ref="AL200:AL211" si="12">SUM(G200:AK200)+F200-E200-U200-K200</f>
        <v>0</v>
      </c>
      <c r="AM200" s="255"/>
      <c r="AN200" s="255"/>
    </row>
    <row r="201" spans="1:40" x14ac:dyDescent="0.35">
      <c r="A201" s="261">
        <v>42794</v>
      </c>
      <c r="B201" s="262">
        <v>1487</v>
      </c>
      <c r="C201" s="252" t="s">
        <v>340</v>
      </c>
      <c r="D201" s="263" t="s">
        <v>444</v>
      </c>
      <c r="E201" s="269">
        <v>1877.5</v>
      </c>
      <c r="F201" s="266">
        <v>312.92</v>
      </c>
      <c r="G201" s="264"/>
      <c r="H201" s="264"/>
      <c r="I201" s="264"/>
      <c r="J201" s="264"/>
      <c r="K201" s="266">
        <f t="shared" si="10"/>
        <v>0</v>
      </c>
      <c r="L201" s="264"/>
      <c r="M201" s="264"/>
      <c r="N201" s="264"/>
      <c r="O201" s="264"/>
      <c r="P201" s="265"/>
      <c r="Q201" s="265"/>
      <c r="R201" s="264"/>
      <c r="S201" s="264"/>
      <c r="T201" s="264"/>
      <c r="U201" s="266">
        <f t="shared" si="11"/>
        <v>0</v>
      </c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/>
      <c r="AF201" s="264"/>
      <c r="AG201" s="264">
        <v>1564.58</v>
      </c>
      <c r="AH201" s="264"/>
      <c r="AI201" s="264"/>
      <c r="AJ201" s="264"/>
      <c r="AK201" s="264"/>
      <c r="AL201" s="264">
        <f t="shared" si="12"/>
        <v>0</v>
      </c>
      <c r="AM201" s="255"/>
      <c r="AN201" s="255"/>
    </row>
    <row r="202" spans="1:40" x14ac:dyDescent="0.35">
      <c r="A202" s="261">
        <v>42793</v>
      </c>
      <c r="B202" s="262" t="s">
        <v>157</v>
      </c>
      <c r="C202" s="263" t="s">
        <v>445</v>
      </c>
      <c r="D202" s="263" t="s">
        <v>446</v>
      </c>
      <c r="E202" s="269">
        <v>35</v>
      </c>
      <c r="F202" s="266"/>
      <c r="G202" s="264"/>
      <c r="H202" s="264"/>
      <c r="I202" s="264"/>
      <c r="J202" s="264"/>
      <c r="K202" s="266">
        <f t="shared" si="10"/>
        <v>0</v>
      </c>
      <c r="L202" s="264"/>
      <c r="M202" s="264"/>
      <c r="N202" s="264"/>
      <c r="O202" s="264"/>
      <c r="P202" s="264"/>
      <c r="Q202" s="264">
        <v>35</v>
      </c>
      <c r="R202" s="264"/>
      <c r="S202" s="264"/>
      <c r="T202" s="264"/>
      <c r="U202" s="266">
        <f t="shared" si="11"/>
        <v>35</v>
      </c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/>
      <c r="AF202" s="264"/>
      <c r="AG202" s="264"/>
      <c r="AH202" s="264"/>
      <c r="AI202" s="264"/>
      <c r="AJ202" s="264"/>
      <c r="AK202" s="264"/>
      <c r="AL202" s="264">
        <f t="shared" si="12"/>
        <v>0</v>
      </c>
      <c r="AM202" s="255"/>
      <c r="AN202" s="255"/>
    </row>
    <row r="203" spans="1:40" x14ac:dyDescent="0.35">
      <c r="A203" s="261">
        <v>42794</v>
      </c>
      <c r="B203" s="262" t="s">
        <v>157</v>
      </c>
      <c r="C203" s="263" t="s">
        <v>447</v>
      </c>
      <c r="D203" s="263" t="s">
        <v>448</v>
      </c>
      <c r="E203" s="269">
        <v>1000</v>
      </c>
      <c r="F203" s="266">
        <v>166.67</v>
      </c>
      <c r="G203" s="264"/>
      <c r="H203" s="264"/>
      <c r="I203" s="264"/>
      <c r="J203" s="264"/>
      <c r="K203" s="266">
        <f t="shared" si="10"/>
        <v>0</v>
      </c>
      <c r="L203" s="264"/>
      <c r="M203" s="264"/>
      <c r="N203" s="264"/>
      <c r="O203" s="264"/>
      <c r="P203" s="264"/>
      <c r="Q203" s="264"/>
      <c r="R203" s="264"/>
      <c r="S203" s="264"/>
      <c r="T203" s="264"/>
      <c r="U203" s="266">
        <f t="shared" si="11"/>
        <v>0</v>
      </c>
      <c r="V203" s="264"/>
      <c r="W203" s="264"/>
      <c r="X203" s="264"/>
      <c r="Y203" s="264"/>
      <c r="Z203" s="264">
        <v>833.33</v>
      </c>
      <c r="AA203" s="264"/>
      <c r="AB203" s="264"/>
      <c r="AC203" s="264"/>
      <c r="AD203" s="264"/>
      <c r="AE203" s="264"/>
      <c r="AF203" s="264"/>
      <c r="AG203" s="264"/>
      <c r="AH203" s="264"/>
      <c r="AI203" s="264"/>
      <c r="AJ203" s="264"/>
      <c r="AK203" s="264"/>
      <c r="AL203" s="264">
        <f t="shared" si="12"/>
        <v>0</v>
      </c>
      <c r="AM203" s="255"/>
      <c r="AN203" s="255"/>
    </row>
    <row r="204" spans="1:40" ht="23.25" x14ac:dyDescent="0.5">
      <c r="A204" s="261">
        <v>42802</v>
      </c>
      <c r="B204" s="262" t="s">
        <v>157</v>
      </c>
      <c r="C204" s="252" t="s">
        <v>248</v>
      </c>
      <c r="D204" s="252" t="s">
        <v>249</v>
      </c>
      <c r="E204" s="269">
        <v>64.73</v>
      </c>
      <c r="F204" s="272">
        <v>10.79</v>
      </c>
      <c r="G204" s="245"/>
      <c r="H204" s="245"/>
      <c r="I204" s="245"/>
      <c r="J204" s="245"/>
      <c r="K204" s="266">
        <f t="shared" si="10"/>
        <v>0</v>
      </c>
      <c r="L204" s="259"/>
      <c r="M204" s="259"/>
      <c r="N204" s="259"/>
      <c r="O204" s="259"/>
      <c r="P204" s="264">
        <v>53.94</v>
      </c>
      <c r="Q204" s="259"/>
      <c r="R204" s="259"/>
      <c r="S204" s="259"/>
      <c r="T204" s="259"/>
      <c r="U204" s="266">
        <f>+L204+M204+O204+P204+Q204+S204+T204</f>
        <v>53.94</v>
      </c>
      <c r="V204" s="259"/>
      <c r="W204" s="264"/>
      <c r="X204" s="259"/>
      <c r="Y204" s="259"/>
      <c r="Z204" s="264"/>
      <c r="AA204" s="259"/>
      <c r="AB204" s="259"/>
      <c r="AC204" s="259"/>
      <c r="AD204" s="259"/>
      <c r="AE204" s="259"/>
      <c r="AF204" s="259"/>
      <c r="AG204" s="264"/>
      <c r="AH204" s="264"/>
      <c r="AI204" s="259"/>
      <c r="AJ204" s="264"/>
      <c r="AK204" s="259"/>
      <c r="AL204" s="264">
        <f t="shared" si="12"/>
        <v>-1.4210854715202004E-14</v>
      </c>
    </row>
    <row r="205" spans="1:40" x14ac:dyDescent="0.35">
      <c r="A205" s="261">
        <v>42800</v>
      </c>
      <c r="B205" s="262">
        <v>1488</v>
      </c>
      <c r="C205" s="263" t="s">
        <v>449</v>
      </c>
      <c r="D205" s="263" t="s">
        <v>450</v>
      </c>
      <c r="E205" s="269">
        <v>431.28</v>
      </c>
      <c r="F205" s="266">
        <v>71.88</v>
      </c>
      <c r="G205" s="265"/>
      <c r="H205" s="265"/>
      <c r="I205" s="265"/>
      <c r="J205" s="265"/>
      <c r="K205" s="266">
        <f t="shared" si="10"/>
        <v>0</v>
      </c>
      <c r="L205" s="265"/>
      <c r="M205" s="265"/>
      <c r="N205" s="265"/>
      <c r="O205" s="265"/>
      <c r="P205" s="265"/>
      <c r="Q205" s="265">
        <v>359.4</v>
      </c>
      <c r="R205" s="264"/>
      <c r="S205" s="264"/>
      <c r="T205" s="264"/>
      <c r="U205" s="266">
        <f t="shared" ref="U205:U210" si="13">+L205+M205+O205+P205+Q205+S205+T205</f>
        <v>359.4</v>
      </c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>
        <f t="shared" si="12"/>
        <v>0</v>
      </c>
      <c r="AM205" s="255"/>
      <c r="AN205" s="255"/>
    </row>
    <row r="206" spans="1:40" x14ac:dyDescent="0.35">
      <c r="A206" s="261">
        <v>42801</v>
      </c>
      <c r="B206" s="262" t="s">
        <v>157</v>
      </c>
      <c r="C206" s="263" t="s">
        <v>199</v>
      </c>
      <c r="D206" s="263" t="s">
        <v>200</v>
      </c>
      <c r="E206" s="269">
        <v>8</v>
      </c>
      <c r="F206" s="266"/>
      <c r="G206" s="265"/>
      <c r="H206" s="265"/>
      <c r="I206" s="265"/>
      <c r="J206" s="265"/>
      <c r="K206" s="266">
        <f t="shared" si="10"/>
        <v>0</v>
      </c>
      <c r="L206" s="265">
        <v>8</v>
      </c>
      <c r="M206" s="265"/>
      <c r="N206" s="265"/>
      <c r="O206" s="265"/>
      <c r="P206" s="265"/>
      <c r="Q206" s="265"/>
      <c r="R206" s="264"/>
      <c r="S206" s="264"/>
      <c r="T206" s="264"/>
      <c r="U206" s="266">
        <f t="shared" si="13"/>
        <v>8</v>
      </c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/>
      <c r="AF206" s="264"/>
      <c r="AG206" s="264"/>
      <c r="AH206" s="264"/>
      <c r="AI206" s="264"/>
      <c r="AJ206" s="264"/>
      <c r="AK206" s="264"/>
      <c r="AL206" s="264">
        <f t="shared" si="12"/>
        <v>0</v>
      </c>
      <c r="AM206" s="255"/>
      <c r="AN206" s="255"/>
    </row>
    <row r="207" spans="1:40" x14ac:dyDescent="0.35">
      <c r="A207" s="261">
        <v>42800</v>
      </c>
      <c r="B207" s="262">
        <v>1489</v>
      </c>
      <c r="C207" s="252" t="s">
        <v>299</v>
      </c>
      <c r="D207" s="263" t="s">
        <v>451</v>
      </c>
      <c r="E207" s="269">
        <v>96</v>
      </c>
      <c r="F207" s="266">
        <v>16</v>
      </c>
      <c r="G207" s="264"/>
      <c r="H207" s="264"/>
      <c r="I207" s="264"/>
      <c r="J207" s="264"/>
      <c r="K207" s="266">
        <f t="shared" si="10"/>
        <v>0</v>
      </c>
      <c r="L207" s="264"/>
      <c r="M207" s="264"/>
      <c r="N207" s="264"/>
      <c r="O207" s="264"/>
      <c r="P207" s="265"/>
      <c r="Q207" s="265"/>
      <c r="R207" s="264"/>
      <c r="S207" s="264"/>
      <c r="T207" s="264"/>
      <c r="U207" s="266">
        <f t="shared" si="13"/>
        <v>0</v>
      </c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/>
      <c r="AF207" s="264"/>
      <c r="AG207" s="264"/>
      <c r="AH207" s="264"/>
      <c r="AI207" s="264"/>
      <c r="AJ207" s="264">
        <v>80</v>
      </c>
      <c r="AK207" s="264"/>
      <c r="AL207" s="264">
        <f t="shared" si="12"/>
        <v>0</v>
      </c>
      <c r="AM207" s="255"/>
      <c r="AN207" s="255"/>
    </row>
    <row r="208" spans="1:40" x14ac:dyDescent="0.35">
      <c r="A208" s="261">
        <v>42807</v>
      </c>
      <c r="B208" s="262">
        <v>1490</v>
      </c>
      <c r="C208" s="252" t="s">
        <v>452</v>
      </c>
      <c r="D208" s="263" t="s">
        <v>453</v>
      </c>
      <c r="E208" s="269">
        <v>300</v>
      </c>
      <c r="F208" s="266"/>
      <c r="G208" s="264"/>
      <c r="H208" s="264"/>
      <c r="I208" s="264"/>
      <c r="J208" s="264"/>
      <c r="K208" s="266">
        <f t="shared" si="10"/>
        <v>0</v>
      </c>
      <c r="L208" s="264"/>
      <c r="M208" s="264"/>
      <c r="N208" s="264"/>
      <c r="O208" s="264"/>
      <c r="P208" s="265"/>
      <c r="Q208" s="265"/>
      <c r="R208" s="264"/>
      <c r="S208" s="264"/>
      <c r="T208" s="264"/>
      <c r="U208" s="266">
        <f t="shared" si="13"/>
        <v>0</v>
      </c>
      <c r="V208" s="264"/>
      <c r="W208" s="264">
        <v>300</v>
      </c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264">
        <f t="shared" si="12"/>
        <v>0</v>
      </c>
      <c r="AM208" s="255"/>
      <c r="AN208" s="255"/>
    </row>
    <row r="209" spans="1:40" x14ac:dyDescent="0.35">
      <c r="A209" s="261">
        <v>42807</v>
      </c>
      <c r="B209" s="262" t="s">
        <v>157</v>
      </c>
      <c r="C209" s="263" t="s">
        <v>296</v>
      </c>
      <c r="D209" s="263" t="s">
        <v>253</v>
      </c>
      <c r="E209" s="269">
        <v>5</v>
      </c>
      <c r="F209" s="266">
        <v>0.84</v>
      </c>
      <c r="G209" s="264"/>
      <c r="H209" s="264"/>
      <c r="I209" s="264"/>
      <c r="J209" s="264"/>
      <c r="K209" s="266">
        <f t="shared" si="10"/>
        <v>0</v>
      </c>
      <c r="L209" s="264"/>
      <c r="M209" s="264"/>
      <c r="N209" s="264"/>
      <c r="O209" s="264"/>
      <c r="P209" s="265">
        <v>4.16</v>
      </c>
      <c r="Q209" s="265"/>
      <c r="R209" s="264"/>
      <c r="S209" s="264"/>
      <c r="T209" s="264"/>
      <c r="U209" s="266">
        <f t="shared" si="13"/>
        <v>4.16</v>
      </c>
      <c r="V209" s="264"/>
      <c r="W209" s="264"/>
      <c r="X209" s="264"/>
      <c r="Y209" s="264"/>
      <c r="Z209" s="264"/>
      <c r="AA209" s="264"/>
      <c r="AB209" s="264"/>
      <c r="AC209" s="264"/>
      <c r="AD209" s="264"/>
      <c r="AE209" s="264"/>
      <c r="AF209" s="264"/>
      <c r="AG209" s="264"/>
      <c r="AH209" s="264"/>
      <c r="AI209" s="264"/>
      <c r="AJ209" s="264"/>
      <c r="AK209" s="264"/>
      <c r="AL209" s="264">
        <f t="shared" si="12"/>
        <v>0</v>
      </c>
      <c r="AM209" s="255"/>
      <c r="AN209" s="255"/>
    </row>
    <row r="210" spans="1:40" x14ac:dyDescent="0.35">
      <c r="A210" s="261">
        <v>42817</v>
      </c>
      <c r="B210" s="262">
        <v>1491</v>
      </c>
      <c r="C210" s="276" t="s">
        <v>454</v>
      </c>
      <c r="D210" s="263" t="s">
        <v>455</v>
      </c>
      <c r="E210" s="269">
        <v>112</v>
      </c>
      <c r="F210" s="266"/>
      <c r="G210" s="264"/>
      <c r="H210" s="264"/>
      <c r="I210" s="264"/>
      <c r="J210" s="264"/>
      <c r="K210" s="266">
        <f t="shared" si="10"/>
        <v>0</v>
      </c>
      <c r="L210" s="264"/>
      <c r="M210" s="264">
        <v>112</v>
      </c>
      <c r="N210" s="264"/>
      <c r="O210" s="264"/>
      <c r="P210" s="265"/>
      <c r="Q210" s="265"/>
      <c r="R210" s="264"/>
      <c r="S210" s="264"/>
      <c r="T210" s="264"/>
      <c r="U210" s="266">
        <f t="shared" si="13"/>
        <v>112</v>
      </c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264">
        <f t="shared" si="12"/>
        <v>0</v>
      </c>
      <c r="AM210" s="255"/>
      <c r="AN210" s="255"/>
    </row>
    <row r="211" spans="1:40" x14ac:dyDescent="0.35">
      <c r="A211" s="261">
        <v>42825</v>
      </c>
      <c r="B211" s="262" t="s">
        <v>157</v>
      </c>
      <c r="C211" s="252" t="s">
        <v>456</v>
      </c>
      <c r="D211" s="252" t="s">
        <v>457</v>
      </c>
      <c r="E211" s="269">
        <v>1000</v>
      </c>
      <c r="F211" s="266">
        <v>166.67</v>
      </c>
      <c r="G211" s="264"/>
      <c r="H211" s="264"/>
      <c r="I211" s="264"/>
      <c r="J211" s="264"/>
      <c r="K211" s="266">
        <f t="shared" si="10"/>
        <v>0</v>
      </c>
      <c r="L211" s="264"/>
      <c r="M211" s="264"/>
      <c r="N211" s="264"/>
      <c r="O211" s="264"/>
      <c r="P211" s="265"/>
      <c r="Q211" s="265"/>
      <c r="R211" s="264"/>
      <c r="S211" s="264"/>
      <c r="T211" s="264"/>
      <c r="U211" s="266"/>
      <c r="V211" s="264"/>
      <c r="W211" s="264"/>
      <c r="X211" s="264"/>
      <c r="Y211" s="264"/>
      <c r="Z211" s="264">
        <v>833.33</v>
      </c>
      <c r="AA211" s="264"/>
      <c r="AB211" s="264"/>
      <c r="AC211" s="264"/>
      <c r="AD211" s="264"/>
      <c r="AE211" s="264"/>
      <c r="AF211" s="264"/>
      <c r="AG211" s="264"/>
      <c r="AH211" s="264"/>
      <c r="AI211" s="264"/>
      <c r="AJ211" s="264"/>
      <c r="AK211" s="264"/>
      <c r="AL211" s="264">
        <f t="shared" si="12"/>
        <v>0</v>
      </c>
      <c r="AM211" s="255"/>
      <c r="AN211" s="255"/>
    </row>
    <row r="212" spans="1:40" ht="21.75" thickBot="1" x14ac:dyDescent="0.4">
      <c r="A212" s="261"/>
      <c r="B212" s="262"/>
      <c r="C212" s="263"/>
      <c r="D212" s="263"/>
      <c r="E212" s="277">
        <f>SUM(E7:E211)</f>
        <v>100172.65000000001</v>
      </c>
      <c r="F212" s="277">
        <f t="shared" ref="F212:AJ212" si="14">SUM(F7:F211)</f>
        <v>8692.869999999999</v>
      </c>
      <c r="G212" s="277">
        <f t="shared" si="14"/>
        <v>20000</v>
      </c>
      <c r="H212" s="277">
        <f t="shared" si="14"/>
        <v>10501.660000000002</v>
      </c>
      <c r="I212" s="277">
        <f t="shared" si="14"/>
        <v>431.66</v>
      </c>
      <c r="J212" s="277">
        <f t="shared" si="14"/>
        <v>44.8</v>
      </c>
      <c r="K212" s="277">
        <f t="shared" si="14"/>
        <v>10978.12</v>
      </c>
      <c r="L212" s="277">
        <f t="shared" si="14"/>
        <v>477.49</v>
      </c>
      <c r="M212" s="277">
        <f t="shared" si="14"/>
        <v>1059</v>
      </c>
      <c r="N212" s="277">
        <f t="shared" si="14"/>
        <v>0</v>
      </c>
      <c r="O212" s="277">
        <f t="shared" si="14"/>
        <v>3000</v>
      </c>
      <c r="P212" s="277">
        <f t="shared" si="14"/>
        <v>1601.4100000000003</v>
      </c>
      <c r="Q212" s="277">
        <f t="shared" si="14"/>
        <v>1719.54</v>
      </c>
      <c r="R212" s="277">
        <f t="shared" si="14"/>
        <v>0</v>
      </c>
      <c r="S212" s="277">
        <f t="shared" si="14"/>
        <v>111.9</v>
      </c>
      <c r="T212" s="277">
        <f t="shared" si="14"/>
        <v>0</v>
      </c>
      <c r="U212" s="277">
        <f t="shared" si="14"/>
        <v>7969.3399999999956</v>
      </c>
      <c r="V212" s="277">
        <f t="shared" si="14"/>
        <v>722</v>
      </c>
      <c r="W212" s="277">
        <f t="shared" si="14"/>
        <v>1200</v>
      </c>
      <c r="X212" s="277">
        <f t="shared" si="14"/>
        <v>2460</v>
      </c>
      <c r="Y212" s="277">
        <f t="shared" si="14"/>
        <v>772.6</v>
      </c>
      <c r="Z212" s="277">
        <f t="shared" si="14"/>
        <v>9999.98</v>
      </c>
      <c r="AA212" s="277">
        <f t="shared" si="14"/>
        <v>1128</v>
      </c>
      <c r="AB212" s="277">
        <f t="shared" si="14"/>
        <v>300</v>
      </c>
      <c r="AC212" s="277">
        <f t="shared" si="14"/>
        <v>0</v>
      </c>
      <c r="AD212" s="277">
        <f t="shared" si="14"/>
        <v>70</v>
      </c>
      <c r="AE212" s="277">
        <f t="shared" si="14"/>
        <v>0</v>
      </c>
      <c r="AF212" s="277">
        <f t="shared" si="14"/>
        <v>0</v>
      </c>
      <c r="AG212" s="277">
        <f t="shared" si="14"/>
        <v>17210.379999999997</v>
      </c>
      <c r="AH212" s="277">
        <f t="shared" si="14"/>
        <v>84</v>
      </c>
      <c r="AI212" s="277">
        <f t="shared" si="14"/>
        <v>0</v>
      </c>
      <c r="AJ212" s="277">
        <f t="shared" si="14"/>
        <v>18585.360000000004</v>
      </c>
      <c r="AK212" s="277">
        <f t="shared" ref="AK212" si="15">SUM(AK7:AK123)</f>
        <v>0</v>
      </c>
      <c r="AL212" s="278">
        <f>SUM(AL7:AL211)</f>
        <v>-1.4210854715202004E-14</v>
      </c>
      <c r="AM212" s="255"/>
    </row>
    <row r="213" spans="1:40" x14ac:dyDescent="0.35">
      <c r="A213" s="261"/>
      <c r="B213" s="262"/>
      <c r="C213" s="263"/>
      <c r="D213" s="263"/>
      <c r="E213" s="268"/>
      <c r="F213" s="268"/>
      <c r="G213" s="268"/>
      <c r="L213" s="268"/>
      <c r="M213" s="268"/>
      <c r="N213" s="268"/>
      <c r="O213" s="268"/>
      <c r="P213" s="268"/>
      <c r="Q213" s="268"/>
    </row>
    <row r="214" spans="1:40" x14ac:dyDescent="0.35">
      <c r="A214" s="261"/>
      <c r="B214" s="262"/>
      <c r="C214" s="263"/>
      <c r="D214" s="263"/>
      <c r="E214" s="268">
        <f>+E212-G212</f>
        <v>80172.650000000009</v>
      </c>
      <c r="F214" s="268">
        <f>+F212+K212+U212+V212+W212+X212+Y212+Z212+AA212+AB212+AD212+AG212+AH212+AI212+AJ212+AK212</f>
        <v>80172.649999999994</v>
      </c>
      <c r="G214" s="268"/>
      <c r="L214" s="268"/>
      <c r="M214" s="268"/>
      <c r="N214" s="268"/>
      <c r="O214" s="268"/>
      <c r="P214" s="268"/>
      <c r="Q214" s="268"/>
    </row>
    <row r="215" spans="1:40" x14ac:dyDescent="0.35">
      <c r="A215" s="261"/>
      <c r="B215" s="262"/>
      <c r="D215" s="263"/>
      <c r="E215" s="268"/>
      <c r="F215" s="268">
        <f>+E214-F214</f>
        <v>0</v>
      </c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</row>
    <row r="216" spans="1:40" x14ac:dyDescent="0.35">
      <c r="D216" s="279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</row>
    <row r="217" spans="1:40" x14ac:dyDescent="0.35"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</row>
    <row r="218" spans="1:40" x14ac:dyDescent="0.35"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</row>
    <row r="219" spans="1:40" x14ac:dyDescent="0.35">
      <c r="A219" s="280" t="s">
        <v>458</v>
      </c>
      <c r="B219" s="281"/>
      <c r="C219" s="256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</row>
    <row r="220" spans="1:40" x14ac:dyDescent="0.35">
      <c r="A220" s="261">
        <v>42817</v>
      </c>
      <c r="B220" s="262">
        <v>1491</v>
      </c>
      <c r="C220" s="263" t="s">
        <v>454</v>
      </c>
      <c r="D220" s="252">
        <v>112</v>
      </c>
    </row>
    <row r="221" spans="1:40" x14ac:dyDescent="0.35">
      <c r="D221" s="282">
        <f>SUM(D220)</f>
        <v>112</v>
      </c>
    </row>
  </sheetData>
  <mergeCells count="2">
    <mergeCell ref="A1:AJ1"/>
    <mergeCell ref="A2:AJ2"/>
  </mergeCells>
  <pageMargins left="0.23622047244094491" right="0.23622047244094491" top="0.74803149606299213" bottom="0.74803149606299213" header="0.31496062992125984" footer="0.31496062992125984"/>
  <pageSetup paperSize="8" scale="20" orientation="landscape" r:id="rId1"/>
  <rowBreaks count="1" manualBreakCount="1">
    <brk id="100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70" zoomScaleNormal="70" workbookViewId="0">
      <selection activeCell="A5" sqref="A5"/>
    </sheetView>
  </sheetViews>
  <sheetFormatPr defaultRowHeight="12.75" x14ac:dyDescent="0.2"/>
  <cols>
    <col min="1" max="1" width="9.7109375" style="1" bestFit="1" customWidth="1"/>
    <col min="2" max="2" width="48" style="1" customWidth="1"/>
    <col min="3" max="3" width="14.85546875" style="1" bestFit="1" customWidth="1"/>
    <col min="4" max="4" width="9.140625" style="1"/>
    <col min="5" max="5" width="14.85546875" style="1" bestFit="1" customWidth="1"/>
    <col min="6" max="6" width="11.42578125" style="1" customWidth="1"/>
    <col min="7" max="8" width="15.7109375" style="1" customWidth="1"/>
    <col min="9" max="9" width="11" style="1" bestFit="1" customWidth="1"/>
    <col min="10" max="10" width="15.7109375" style="1" hidden="1" customWidth="1"/>
    <col min="11" max="11" width="9.140625" style="1" hidden="1" customWidth="1"/>
    <col min="12" max="12" width="10.5703125" style="1" bestFit="1" customWidth="1"/>
    <col min="13" max="16384" width="9.140625" style="1"/>
  </cols>
  <sheetData>
    <row r="1" spans="1:20" ht="21" x14ac:dyDescent="0.3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31"/>
      <c r="N1" s="131"/>
      <c r="O1" s="131"/>
      <c r="P1" s="131"/>
      <c r="Q1" s="131"/>
      <c r="R1" s="131"/>
      <c r="S1" s="131"/>
      <c r="T1" s="131"/>
    </row>
    <row r="2" spans="1:20" ht="21" x14ac:dyDescent="0.35">
      <c r="A2" s="295" t="s">
        <v>159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132"/>
      <c r="N2" s="132"/>
      <c r="O2" s="132"/>
      <c r="P2" s="132"/>
      <c r="Q2" s="132"/>
      <c r="R2" s="132"/>
      <c r="S2" s="132"/>
      <c r="T2" s="132"/>
    </row>
    <row r="3" spans="1:20" ht="21" x14ac:dyDescent="0.35">
      <c r="A3" s="145"/>
      <c r="B3" s="144"/>
    </row>
    <row r="4" spans="1:20" ht="18.75" x14ac:dyDescent="0.3">
      <c r="A4" s="100" t="s">
        <v>464</v>
      </c>
    </row>
    <row r="5" spans="1:20" x14ac:dyDescent="0.2">
      <c r="D5" s="296" t="s">
        <v>102</v>
      </c>
      <c r="E5" s="296"/>
      <c r="F5" s="296"/>
      <c r="G5" s="296" t="s">
        <v>103</v>
      </c>
      <c r="H5" s="296"/>
      <c r="I5" s="296"/>
      <c r="J5" s="296"/>
      <c r="K5" s="296"/>
      <c r="L5" s="296"/>
    </row>
    <row r="6" spans="1:20" s="130" customFormat="1" ht="15.75" x14ac:dyDescent="0.25">
      <c r="D6" s="135"/>
      <c r="E6" s="135"/>
      <c r="F6" s="135"/>
      <c r="G6" s="135"/>
      <c r="H6" s="135"/>
      <c r="I6" s="135"/>
      <c r="J6" s="135"/>
      <c r="K6" s="135"/>
      <c r="L6" s="135"/>
    </row>
    <row r="7" spans="1:20" s="130" customFormat="1" ht="18" x14ac:dyDescent="0.4">
      <c r="A7" s="146" t="s">
        <v>118</v>
      </c>
      <c r="B7" s="147" t="s">
        <v>119</v>
      </c>
      <c r="C7" s="154" t="s">
        <v>120</v>
      </c>
      <c r="D7" s="154" t="s">
        <v>1</v>
      </c>
      <c r="E7" s="154" t="s">
        <v>121</v>
      </c>
      <c r="F7" s="155" t="s">
        <v>125</v>
      </c>
      <c r="G7" s="154" t="s">
        <v>1</v>
      </c>
      <c r="H7" s="154" t="s">
        <v>121</v>
      </c>
      <c r="I7" s="236" t="s">
        <v>122</v>
      </c>
      <c r="J7" s="156" t="s">
        <v>123</v>
      </c>
      <c r="K7" s="156" t="s">
        <v>124</v>
      </c>
      <c r="L7" s="155" t="s">
        <v>125</v>
      </c>
    </row>
    <row r="8" spans="1:20" s="130" customFormat="1" ht="15.75" x14ac:dyDescent="0.25">
      <c r="A8" s="148">
        <v>42503</v>
      </c>
      <c r="B8" s="149" t="s">
        <v>230</v>
      </c>
      <c r="C8" s="160">
        <v>20000</v>
      </c>
      <c r="D8" s="229"/>
      <c r="E8" s="160"/>
      <c r="F8" s="229"/>
      <c r="G8" s="229"/>
      <c r="H8" s="231">
        <v>20000</v>
      </c>
      <c r="I8" s="232"/>
      <c r="J8" s="141"/>
      <c r="K8" s="141"/>
      <c r="L8" s="233"/>
      <c r="M8" s="138"/>
    </row>
    <row r="9" spans="1:20" s="130" customFormat="1" ht="15.75" x14ac:dyDescent="0.25">
      <c r="A9" s="148">
        <v>42576</v>
      </c>
      <c r="B9" s="149" t="s">
        <v>4</v>
      </c>
      <c r="C9" s="160">
        <v>73.180000000000007</v>
      </c>
      <c r="D9" s="229"/>
      <c r="E9" s="160"/>
      <c r="F9" s="229"/>
      <c r="G9" s="229"/>
      <c r="H9" s="231"/>
      <c r="I9" s="232">
        <v>73.180000000000007</v>
      </c>
      <c r="J9" s="141"/>
      <c r="K9" s="141"/>
      <c r="L9" s="233"/>
      <c r="M9" s="138"/>
    </row>
    <row r="10" spans="1:20" s="130" customFormat="1" ht="15.75" x14ac:dyDescent="0.25">
      <c r="A10" s="148">
        <v>42675</v>
      </c>
      <c r="B10" s="149" t="s">
        <v>371</v>
      </c>
      <c r="C10" s="160">
        <v>10000</v>
      </c>
      <c r="D10" s="229"/>
      <c r="E10" s="160">
        <v>10000</v>
      </c>
      <c r="F10" s="229"/>
      <c r="G10" s="229"/>
      <c r="H10" s="231"/>
      <c r="I10" s="232"/>
      <c r="J10" s="141"/>
      <c r="K10" s="141"/>
      <c r="L10" s="233"/>
      <c r="M10" s="138"/>
    </row>
    <row r="11" spans="1:20" s="130" customFormat="1" ht="15.75" x14ac:dyDescent="0.25">
      <c r="A11" s="148">
        <v>42712</v>
      </c>
      <c r="B11" s="149" t="s">
        <v>371</v>
      </c>
      <c r="C11" s="160">
        <v>10000</v>
      </c>
      <c r="D11" s="229"/>
      <c r="E11" s="160">
        <v>10000</v>
      </c>
      <c r="F11" s="229"/>
      <c r="G11" s="229"/>
      <c r="H11" s="231"/>
      <c r="I11" s="232"/>
      <c r="J11" s="141"/>
      <c r="K11" s="141"/>
      <c r="L11" s="229"/>
      <c r="M11" s="138"/>
    </row>
    <row r="12" spans="1:20" s="130" customFormat="1" ht="15.75" x14ac:dyDescent="0.25">
      <c r="A12" s="246">
        <v>42744</v>
      </c>
      <c r="B12" s="130" t="s">
        <v>4</v>
      </c>
      <c r="C12" s="249">
        <v>62.69</v>
      </c>
      <c r="D12" s="247"/>
      <c r="E12" s="247"/>
      <c r="F12" s="247"/>
      <c r="G12" s="247"/>
      <c r="H12" s="247"/>
      <c r="I12" s="250">
        <v>62.69</v>
      </c>
      <c r="J12" s="141"/>
      <c r="K12" s="141"/>
      <c r="L12" s="247"/>
      <c r="M12" s="248"/>
    </row>
    <row r="13" spans="1:20" s="130" customFormat="1" ht="15.75" x14ac:dyDescent="0.25">
      <c r="A13" s="227"/>
      <c r="B13" s="157" t="s">
        <v>171</v>
      </c>
      <c r="C13" s="158">
        <f>SUM(C8:C12)</f>
        <v>40135.870000000003</v>
      </c>
      <c r="D13" s="158">
        <f t="shared" ref="D13:L13" si="0">SUM(D8:D12)</f>
        <v>0</v>
      </c>
      <c r="E13" s="158">
        <f t="shared" si="0"/>
        <v>20000</v>
      </c>
      <c r="F13" s="158">
        <f t="shared" si="0"/>
        <v>0</v>
      </c>
      <c r="G13" s="158">
        <f t="shared" si="0"/>
        <v>0</v>
      </c>
      <c r="H13" s="158">
        <f t="shared" si="0"/>
        <v>20000</v>
      </c>
      <c r="I13" s="158">
        <f t="shared" si="0"/>
        <v>135.87</v>
      </c>
      <c r="J13" s="158">
        <f t="shared" si="0"/>
        <v>0</v>
      </c>
      <c r="K13" s="158">
        <f t="shared" si="0"/>
        <v>0</v>
      </c>
      <c r="L13" s="158">
        <f t="shared" si="0"/>
        <v>0</v>
      </c>
    </row>
    <row r="14" spans="1:20" s="130" customFormat="1" ht="15.75" x14ac:dyDescent="0.25">
      <c r="A14" s="148">
        <v>42095</v>
      </c>
      <c r="B14" s="165" t="s">
        <v>4</v>
      </c>
      <c r="C14" s="139">
        <v>3.69</v>
      </c>
      <c r="D14" s="235"/>
      <c r="E14" s="234"/>
      <c r="F14" s="139"/>
      <c r="G14" s="235"/>
      <c r="H14" s="234"/>
      <c r="I14" s="140">
        <v>3.69</v>
      </c>
      <c r="J14" s="150"/>
      <c r="K14" s="150"/>
      <c r="L14" s="139"/>
    </row>
    <row r="15" spans="1:20" s="130" customFormat="1" ht="15.75" x14ac:dyDescent="0.25">
      <c r="A15" s="148">
        <v>42492</v>
      </c>
      <c r="B15" s="165" t="s">
        <v>4</v>
      </c>
      <c r="C15" s="139">
        <v>4.46</v>
      </c>
      <c r="D15" s="160"/>
      <c r="E15" s="139"/>
      <c r="F15" s="139"/>
      <c r="G15" s="160"/>
      <c r="H15" s="139"/>
      <c r="I15" s="140">
        <v>4.46</v>
      </c>
      <c r="J15" s="150"/>
      <c r="K15" s="150"/>
      <c r="L15" s="139"/>
    </row>
    <row r="16" spans="1:20" s="130" customFormat="1" ht="15.75" x14ac:dyDescent="0.25">
      <c r="A16" s="148">
        <v>42522</v>
      </c>
      <c r="B16" s="165" t="s">
        <v>4</v>
      </c>
      <c r="C16" s="160">
        <v>4.6100000000000003</v>
      </c>
      <c r="D16" s="160"/>
      <c r="E16" s="139"/>
      <c r="F16" s="139"/>
      <c r="G16" s="160"/>
      <c r="H16" s="139"/>
      <c r="I16" s="140">
        <v>4.6100000000000003</v>
      </c>
      <c r="J16" s="150"/>
      <c r="K16" s="150"/>
      <c r="L16" s="139"/>
    </row>
    <row r="17" spans="1:12" s="130" customFormat="1" ht="15.75" x14ac:dyDescent="0.25">
      <c r="A17" s="148">
        <v>42552</v>
      </c>
      <c r="B17" s="165" t="s">
        <v>4</v>
      </c>
      <c r="C17" s="139">
        <v>4.46</v>
      </c>
      <c r="D17" s="160"/>
      <c r="E17" s="139"/>
      <c r="F17" s="139"/>
      <c r="G17" s="160"/>
      <c r="H17" s="139"/>
      <c r="I17" s="140">
        <v>4.46</v>
      </c>
      <c r="J17" s="150"/>
      <c r="K17" s="150"/>
      <c r="L17" s="139"/>
    </row>
    <row r="18" spans="1:12" s="130" customFormat="1" ht="15.75" x14ac:dyDescent="0.25">
      <c r="A18" s="148">
        <v>42583</v>
      </c>
      <c r="B18" s="165" t="s">
        <v>4</v>
      </c>
      <c r="C18" s="139">
        <v>4.6100000000000003</v>
      </c>
      <c r="D18" s="160"/>
      <c r="E18" s="139"/>
      <c r="F18" s="139"/>
      <c r="G18" s="160"/>
      <c r="H18" s="139"/>
      <c r="I18" s="140">
        <v>4.6100000000000003</v>
      </c>
      <c r="J18" s="150"/>
      <c r="K18" s="150"/>
      <c r="L18" s="139"/>
    </row>
    <row r="19" spans="1:12" s="130" customFormat="1" ht="15.75" x14ac:dyDescent="0.25">
      <c r="A19" s="148">
        <v>42614</v>
      </c>
      <c r="B19" s="165" t="s">
        <v>4</v>
      </c>
      <c r="C19" s="139">
        <v>4.62</v>
      </c>
      <c r="D19" s="160"/>
      <c r="E19" s="139"/>
      <c r="F19" s="139"/>
      <c r="G19" s="160"/>
      <c r="H19" s="139"/>
      <c r="I19" s="140">
        <v>4.62</v>
      </c>
      <c r="J19" s="150"/>
      <c r="K19" s="150"/>
      <c r="L19" s="139"/>
    </row>
    <row r="20" spans="1:12" s="130" customFormat="1" ht="15.75" x14ac:dyDescent="0.25">
      <c r="A20" s="148">
        <v>42644</v>
      </c>
      <c r="B20" s="228" t="s">
        <v>4</v>
      </c>
      <c r="C20" s="139">
        <v>4.47</v>
      </c>
      <c r="D20" s="160"/>
      <c r="E20" s="139"/>
      <c r="F20" s="139"/>
      <c r="G20" s="160"/>
      <c r="H20" s="139"/>
      <c r="I20" s="140">
        <v>4.47</v>
      </c>
      <c r="J20" s="150"/>
      <c r="K20" s="150"/>
      <c r="L20" s="139"/>
    </row>
    <row r="21" spans="1:12" s="130" customFormat="1" ht="15.75" x14ac:dyDescent="0.25">
      <c r="A21" s="148">
        <v>42675</v>
      </c>
      <c r="B21" s="228" t="s">
        <v>4</v>
      </c>
      <c r="C21" s="139">
        <v>4.62</v>
      </c>
      <c r="D21" s="160"/>
      <c r="E21" s="139"/>
      <c r="F21" s="139"/>
      <c r="G21" s="160"/>
      <c r="H21" s="139"/>
      <c r="I21" s="140">
        <v>4.62</v>
      </c>
      <c r="J21" s="150"/>
      <c r="K21" s="150"/>
      <c r="L21" s="139"/>
    </row>
    <row r="22" spans="1:12" s="130" customFormat="1" ht="15.75" x14ac:dyDescent="0.25">
      <c r="A22" s="148">
        <v>42705</v>
      </c>
      <c r="B22" s="251" t="s">
        <v>4</v>
      </c>
      <c r="C22" s="160">
        <v>2.31</v>
      </c>
      <c r="D22" s="160"/>
      <c r="E22" s="160"/>
      <c r="F22" s="160"/>
      <c r="G22" s="160"/>
      <c r="H22" s="160"/>
      <c r="I22" s="160">
        <v>2.31</v>
      </c>
      <c r="J22" s="150"/>
      <c r="K22" s="150"/>
      <c r="L22" s="139"/>
    </row>
    <row r="23" spans="1:12" s="130" customFormat="1" ht="15.75" x14ac:dyDescent="0.25">
      <c r="A23" s="148">
        <v>42737</v>
      </c>
      <c r="B23" s="130" t="s">
        <v>4</v>
      </c>
      <c r="C23" s="160">
        <v>2.31</v>
      </c>
      <c r="D23" s="160"/>
      <c r="E23" s="160"/>
      <c r="F23" s="160"/>
      <c r="G23" s="160"/>
      <c r="H23" s="160"/>
      <c r="I23" s="160">
        <v>2.31</v>
      </c>
      <c r="J23" s="150"/>
      <c r="K23" s="150"/>
      <c r="L23" s="139"/>
    </row>
    <row r="24" spans="1:12" s="130" customFormat="1" ht="15.75" x14ac:dyDescent="0.25">
      <c r="A24" s="148">
        <v>42768</v>
      </c>
      <c r="B24" s="130" t="s">
        <v>4</v>
      </c>
      <c r="C24" s="160">
        <v>2.31</v>
      </c>
      <c r="D24" s="160"/>
      <c r="E24" s="160"/>
      <c r="F24" s="160"/>
      <c r="G24" s="160"/>
      <c r="H24" s="160"/>
      <c r="I24" s="160">
        <v>2.31</v>
      </c>
      <c r="J24" s="150"/>
      <c r="K24" s="150"/>
      <c r="L24" s="139"/>
    </row>
    <row r="25" spans="1:12" s="130" customFormat="1" ht="15.75" x14ac:dyDescent="0.25">
      <c r="A25" s="148">
        <v>42795</v>
      </c>
      <c r="B25" s="130" t="s">
        <v>4</v>
      </c>
      <c r="C25" s="230">
        <v>2.09</v>
      </c>
      <c r="D25" s="230"/>
      <c r="E25" s="230"/>
      <c r="F25" s="230"/>
      <c r="G25" s="230"/>
      <c r="H25" s="230"/>
      <c r="I25" s="230">
        <v>2.09</v>
      </c>
      <c r="J25" s="150"/>
      <c r="K25" s="150"/>
      <c r="L25" s="139"/>
    </row>
    <row r="26" spans="1:12" s="130" customFormat="1" ht="15.75" x14ac:dyDescent="0.25">
      <c r="B26" s="157" t="s">
        <v>166</v>
      </c>
      <c r="C26" s="161">
        <f>SUM(C14:C25)</f>
        <v>44.56</v>
      </c>
      <c r="D26" s="161">
        <f t="shared" ref="D26:L26" si="1">SUM(D14:D25)</f>
        <v>0</v>
      </c>
      <c r="E26" s="161">
        <f t="shared" si="1"/>
        <v>0</v>
      </c>
      <c r="F26" s="161">
        <f t="shared" si="1"/>
        <v>0</v>
      </c>
      <c r="G26" s="161">
        <f t="shared" si="1"/>
        <v>0</v>
      </c>
      <c r="H26" s="161">
        <f t="shared" si="1"/>
        <v>0</v>
      </c>
      <c r="I26" s="161">
        <f t="shared" si="1"/>
        <v>44.56</v>
      </c>
      <c r="J26" s="161">
        <f t="shared" si="1"/>
        <v>0</v>
      </c>
      <c r="K26" s="161">
        <f t="shared" si="1"/>
        <v>0</v>
      </c>
      <c r="L26" s="161">
        <f t="shared" si="1"/>
        <v>0</v>
      </c>
    </row>
    <row r="27" spans="1:12" s="130" customFormat="1" ht="15.75" x14ac:dyDescent="0.25"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s="130" customFormat="1" ht="15.75" x14ac:dyDescent="0.25">
      <c r="B28" s="16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s="130" customFormat="1" ht="15.75" x14ac:dyDescent="0.25">
      <c r="B29" s="152"/>
      <c r="D29" s="153"/>
      <c r="E29" s="153"/>
      <c r="F29" s="153"/>
    </row>
    <row r="30" spans="1:12" s="130" customFormat="1" ht="18.75" x14ac:dyDescent="0.3">
      <c r="A30" s="163"/>
      <c r="B30" s="101"/>
      <c r="D30" s="153"/>
      <c r="E30" s="163"/>
      <c r="F30" s="101"/>
    </row>
    <row r="31" spans="1:12" s="130" customFormat="1" ht="15.75" x14ac:dyDescent="0.25">
      <c r="A31" s="163"/>
      <c r="B31" s="164"/>
      <c r="D31" s="153"/>
      <c r="E31" s="163"/>
      <c r="F31" s="164"/>
    </row>
    <row r="32" spans="1:12" s="130" customFormat="1" ht="15.75" x14ac:dyDescent="0.25">
      <c r="B32" s="152"/>
      <c r="D32" s="153"/>
    </row>
    <row r="33" spans="2:6" s="130" customFormat="1" ht="18.75" x14ac:dyDescent="0.3">
      <c r="B33" s="101"/>
      <c r="D33" s="153"/>
      <c r="F33" s="101"/>
    </row>
    <row r="48" spans="2:6" x14ac:dyDescent="0.2">
      <c r="C48" s="89"/>
    </row>
  </sheetData>
  <mergeCells count="4">
    <mergeCell ref="A1:L1"/>
    <mergeCell ref="A2:L2"/>
    <mergeCell ref="D5:F5"/>
    <mergeCell ref="G5:L5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0" zoomScaleNormal="80" workbookViewId="0">
      <selection activeCell="B24" sqref="B24"/>
    </sheetView>
  </sheetViews>
  <sheetFormatPr defaultRowHeight="12.75" x14ac:dyDescent="0.2"/>
  <cols>
    <col min="1" max="1" width="12.42578125" customWidth="1"/>
    <col min="2" max="2" width="41.140625" customWidth="1"/>
    <col min="3" max="4" width="13.7109375" customWidth="1"/>
  </cols>
  <sheetData>
    <row r="1" spans="1:5" ht="15.75" x14ac:dyDescent="0.25">
      <c r="A1" s="297" t="s">
        <v>0</v>
      </c>
      <c r="B1" s="297"/>
      <c r="C1" s="297"/>
      <c r="D1" s="297"/>
    </row>
    <row r="2" spans="1:5" ht="15.75" x14ac:dyDescent="0.25">
      <c r="A2" s="298" t="s">
        <v>160</v>
      </c>
      <c r="B2" s="298"/>
      <c r="C2" s="298"/>
      <c r="D2" s="298"/>
    </row>
    <row r="3" spans="1:5" ht="15.75" x14ac:dyDescent="0.25">
      <c r="A3" s="166"/>
      <c r="B3" s="164"/>
      <c r="C3" s="142"/>
      <c r="D3" s="142"/>
    </row>
    <row r="4" spans="1:5" ht="18.75" x14ac:dyDescent="0.3">
      <c r="A4" s="100" t="s">
        <v>363</v>
      </c>
      <c r="B4" s="130"/>
      <c r="C4" s="142"/>
      <c r="D4" s="142"/>
    </row>
    <row r="5" spans="1:5" ht="15.75" x14ac:dyDescent="0.25">
      <c r="A5" s="130"/>
      <c r="B5" s="130"/>
      <c r="C5" s="142"/>
      <c r="D5" s="142"/>
    </row>
    <row r="6" spans="1:5" ht="15.75" x14ac:dyDescent="0.25">
      <c r="A6" s="72" t="s">
        <v>163</v>
      </c>
      <c r="B6" s="130"/>
      <c r="C6" s="151" t="s">
        <v>161</v>
      </c>
      <c r="D6" s="151" t="s">
        <v>162</v>
      </c>
    </row>
    <row r="7" spans="1:5" ht="15.75" x14ac:dyDescent="0.25">
      <c r="A7" s="148">
        <v>42503</v>
      </c>
      <c r="B7" s="149" t="s">
        <v>231</v>
      </c>
      <c r="C7" s="140">
        <v>20000</v>
      </c>
      <c r="D7" s="140"/>
      <c r="E7" s="170"/>
    </row>
    <row r="8" spans="1:5" ht="15.75" x14ac:dyDescent="0.25">
      <c r="A8" s="148">
        <v>42675</v>
      </c>
      <c r="B8" s="149" t="s">
        <v>405</v>
      </c>
      <c r="C8" s="140"/>
      <c r="D8" s="140">
        <v>10000</v>
      </c>
      <c r="E8" s="170"/>
    </row>
    <row r="9" spans="1:5" ht="15.75" x14ac:dyDescent="0.25">
      <c r="A9" s="137">
        <v>42712</v>
      </c>
      <c r="B9" s="149" t="s">
        <v>405</v>
      </c>
      <c r="C9" s="142"/>
      <c r="D9" s="140">
        <v>10000</v>
      </c>
      <c r="E9" s="170"/>
    </row>
    <row r="10" spans="1:5" ht="15.75" x14ac:dyDescent="0.25">
      <c r="A10" s="130"/>
      <c r="B10" s="130"/>
      <c r="C10" s="167">
        <f>SUM(C7:C9)</f>
        <v>20000</v>
      </c>
      <c r="D10" s="167">
        <f>SUM(D7:D9)</f>
        <v>20000</v>
      </c>
    </row>
    <row r="11" spans="1:5" ht="15.75" x14ac:dyDescent="0.25">
      <c r="A11" s="168" t="s">
        <v>164</v>
      </c>
      <c r="B11" s="130"/>
      <c r="C11" s="142"/>
      <c r="D11" s="142"/>
    </row>
    <row r="12" spans="1:5" ht="15.75" x14ac:dyDescent="0.25">
      <c r="A12" s="159"/>
      <c r="B12" s="138"/>
      <c r="C12" s="140"/>
      <c r="D12" s="142"/>
    </row>
    <row r="13" spans="1:5" ht="15.75" x14ac:dyDescent="0.25">
      <c r="A13" s="159"/>
      <c r="B13" s="138"/>
      <c r="C13" s="140"/>
      <c r="D13" s="142"/>
    </row>
    <row r="14" spans="1:5" ht="15.75" x14ac:dyDescent="0.25">
      <c r="A14" s="130"/>
      <c r="B14" s="130"/>
      <c r="C14" s="167">
        <f>SUM(C12:C13)</f>
        <v>0</v>
      </c>
      <c r="D14" s="167">
        <f>SUM(D12:D13)</f>
        <v>0</v>
      </c>
    </row>
    <row r="15" spans="1:5" ht="15.75" x14ac:dyDescent="0.25">
      <c r="A15" s="130"/>
      <c r="B15" s="130"/>
      <c r="C15" s="142"/>
      <c r="D15" s="142"/>
    </row>
    <row r="16" spans="1:5" ht="15.75" x14ac:dyDescent="0.25">
      <c r="A16" s="168" t="s">
        <v>172</v>
      </c>
      <c r="B16" s="130"/>
      <c r="C16" s="142"/>
      <c r="D16" s="142"/>
    </row>
    <row r="17" spans="1:4" ht="15.75" x14ac:dyDescent="0.25">
      <c r="A17" s="148">
        <v>42503</v>
      </c>
      <c r="B17" s="149" t="s">
        <v>232</v>
      </c>
      <c r="C17" s="140"/>
      <c r="D17" s="17">
        <v>20000</v>
      </c>
    </row>
    <row r="18" spans="1:4" ht="15.75" x14ac:dyDescent="0.25">
      <c r="A18" s="148">
        <v>42675</v>
      </c>
      <c r="B18" s="149" t="s">
        <v>404</v>
      </c>
      <c r="C18" s="140">
        <v>10000</v>
      </c>
      <c r="D18" s="17"/>
    </row>
    <row r="19" spans="1:4" ht="15.75" x14ac:dyDescent="0.25">
      <c r="A19" s="148">
        <v>42712</v>
      </c>
      <c r="B19" s="149" t="s">
        <v>404</v>
      </c>
      <c r="C19" s="140">
        <v>10000</v>
      </c>
      <c r="D19" s="17"/>
    </row>
    <row r="20" spans="1:4" ht="15.75" x14ac:dyDescent="0.25">
      <c r="A20" s="148"/>
      <c r="B20" s="149"/>
      <c r="C20" s="167">
        <f>SUM(C18:C19)</f>
        <v>20000</v>
      </c>
      <c r="D20" s="167">
        <f>SUM(D17)</f>
        <v>20000</v>
      </c>
    </row>
    <row r="21" spans="1:4" ht="15.75" x14ac:dyDescent="0.25">
      <c r="A21" s="130"/>
      <c r="B21" s="130"/>
      <c r="C21" s="141"/>
      <c r="D21" s="141"/>
    </row>
    <row r="22" spans="1:4" ht="15.75" x14ac:dyDescent="0.25">
      <c r="A22" s="130"/>
      <c r="B22" s="130"/>
      <c r="C22" s="142"/>
      <c r="D22" s="142"/>
    </row>
    <row r="23" spans="1:4" ht="16.5" thickBot="1" x14ac:dyDescent="0.3">
      <c r="A23" s="130"/>
      <c r="B23" s="130"/>
      <c r="C23" s="169">
        <f>+C10+C14+C20</f>
        <v>40000</v>
      </c>
      <c r="D23" s="169">
        <f>+D10+D14+D20</f>
        <v>40000</v>
      </c>
    </row>
    <row r="24" spans="1:4" ht="16.5" thickTop="1" x14ac:dyDescent="0.25">
      <c r="A24" s="130"/>
      <c r="B24" s="130"/>
      <c r="C24" s="142"/>
      <c r="D24" s="142">
        <f>C23-D23</f>
        <v>0</v>
      </c>
    </row>
    <row r="25" spans="1:4" ht="15.75" x14ac:dyDescent="0.25">
      <c r="A25" s="130"/>
      <c r="B25" s="130"/>
      <c r="C25" s="142"/>
      <c r="D25" s="142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80" zoomScaleNormal="80" workbookViewId="0">
      <selection activeCell="A3" sqref="A3:L3"/>
    </sheetView>
  </sheetViews>
  <sheetFormatPr defaultRowHeight="12.75" x14ac:dyDescent="0.2"/>
  <cols>
    <col min="1" max="1" width="18.42578125" style="22" bestFit="1" customWidth="1"/>
    <col min="2" max="2" width="2.7109375" style="22" customWidth="1"/>
    <col min="3" max="3" width="17" style="22" customWidth="1"/>
    <col min="4" max="5" width="2.7109375" style="22" customWidth="1"/>
    <col min="6" max="6" width="15.5703125" style="22" customWidth="1"/>
    <col min="7" max="8" width="2.7109375" style="22" customWidth="1"/>
    <col min="9" max="9" width="14.5703125" style="22" customWidth="1"/>
    <col min="10" max="11" width="2.7109375" style="22" customWidth="1"/>
    <col min="12" max="12" width="20.7109375" style="22" customWidth="1"/>
    <col min="13" max="16384" width="9.140625" style="22"/>
  </cols>
  <sheetData>
    <row r="1" spans="1:12" s="5" customFormat="1" ht="21" x14ac:dyDescent="0.3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5" customFormat="1" ht="9.9499999999999993" customHeight="1" x14ac:dyDescent="0.25">
      <c r="A2" s="60"/>
    </row>
    <row r="3" spans="1:12" s="11" customFormat="1" ht="15.75" x14ac:dyDescent="0.25">
      <c r="A3" s="288" t="s">
        <v>178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s="11" customFormat="1" ht="15.75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s="11" customFormat="1" ht="18.75" x14ac:dyDescent="0.3">
      <c r="A5" s="73" t="s">
        <v>466</v>
      </c>
      <c r="B5" s="192"/>
      <c r="C5" s="192"/>
      <c r="D5" s="5"/>
      <c r="E5" s="5"/>
      <c r="F5" s="5"/>
      <c r="G5" s="5"/>
      <c r="H5" s="5"/>
      <c r="I5" s="5"/>
    </row>
    <row r="6" spans="1:12" s="11" customFormat="1" ht="15.75" x14ac:dyDescent="0.25">
      <c r="A6" s="1"/>
      <c r="B6" s="201"/>
      <c r="C6" s="201"/>
      <c r="D6" s="201"/>
      <c r="E6" s="201"/>
      <c r="F6" s="202" t="s">
        <v>102</v>
      </c>
      <c r="G6" s="201"/>
      <c r="H6" s="201"/>
      <c r="I6" s="202" t="s">
        <v>103</v>
      </c>
    </row>
    <row r="7" spans="1:12" s="11" customFormat="1" ht="15.75" x14ac:dyDescent="0.25">
      <c r="A7" s="1" t="s">
        <v>111</v>
      </c>
      <c r="B7" s="201"/>
      <c r="C7" s="201"/>
      <c r="D7" s="201"/>
      <c r="E7" s="201"/>
      <c r="F7" s="83"/>
      <c r="G7" s="201"/>
      <c r="H7" s="201"/>
      <c r="I7" s="89">
        <f>'Bank Rec'!C20</f>
        <v>3394.18</v>
      </c>
    </row>
    <row r="8" spans="1:12" s="11" customFormat="1" ht="15.75" x14ac:dyDescent="0.25">
      <c r="A8" s="1" t="s">
        <v>112</v>
      </c>
      <c r="B8" s="201"/>
      <c r="C8" s="201"/>
      <c r="D8" s="201"/>
      <c r="E8" s="201"/>
      <c r="F8" s="1"/>
      <c r="G8" s="201"/>
      <c r="H8" s="201"/>
      <c r="I8" s="83">
        <f>+'Bank Rec'!I20</f>
        <v>10923.33</v>
      </c>
    </row>
    <row r="9" spans="1:12" s="11" customFormat="1" ht="15.75" x14ac:dyDescent="0.25">
      <c r="A9" s="1" t="s">
        <v>2</v>
      </c>
      <c r="B9" s="201"/>
      <c r="C9" s="201"/>
      <c r="D9" s="201"/>
      <c r="E9" s="201"/>
      <c r="F9" s="1"/>
      <c r="G9" s="201"/>
      <c r="H9" s="201"/>
      <c r="I9" s="83">
        <f>+'Bank Rec'!O20</f>
        <v>54058.720000000001</v>
      </c>
    </row>
    <row r="10" spans="1:12" s="11" customFormat="1" ht="15.75" x14ac:dyDescent="0.25">
      <c r="A10" s="1" t="s">
        <v>113</v>
      </c>
      <c r="B10" s="201"/>
      <c r="C10" s="201"/>
      <c r="D10" s="201"/>
      <c r="E10" s="201"/>
      <c r="F10" s="1"/>
      <c r="G10" s="201"/>
      <c r="H10" s="201"/>
      <c r="I10" s="83">
        <v>2000</v>
      </c>
    </row>
    <row r="11" spans="1:12" s="11" customFormat="1" ht="15.75" x14ac:dyDescent="0.25">
      <c r="A11" s="1"/>
      <c r="B11" s="201"/>
      <c r="C11" s="201"/>
      <c r="D11" s="201"/>
      <c r="E11" s="201"/>
      <c r="F11" s="203">
        <f>SUM(F7:F10)</f>
        <v>0</v>
      </c>
      <c r="G11" s="201"/>
      <c r="H11" s="201"/>
      <c r="I11" s="203">
        <f>SUM(I7:I10)</f>
        <v>70376.23</v>
      </c>
    </row>
    <row r="12" spans="1:12" s="11" customFormat="1" ht="16.5" thickBot="1" x14ac:dyDescent="0.3">
      <c r="A12" s="192"/>
      <c r="B12" s="5"/>
      <c r="C12" s="5"/>
      <c r="D12" s="5"/>
      <c r="E12" s="5"/>
      <c r="F12" s="192"/>
      <c r="G12" s="5"/>
      <c r="H12" s="5"/>
      <c r="I12" s="194">
        <f>I11-F11</f>
        <v>70376.23</v>
      </c>
    </row>
    <row r="13" spans="1:12" s="11" customFormat="1" ht="16.5" thickTop="1" x14ac:dyDescent="0.25">
      <c r="A13" s="1"/>
      <c r="B13" s="5"/>
      <c r="C13" s="5"/>
      <c r="D13" s="5"/>
      <c r="E13" s="5"/>
      <c r="F13" s="1"/>
      <c r="G13" s="5"/>
      <c r="H13" s="5"/>
      <c r="I13" s="1"/>
    </row>
    <row r="14" spans="1:12" s="11" customFormat="1" ht="15.75" x14ac:dyDescent="0.25">
      <c r="A14" s="192" t="s">
        <v>190</v>
      </c>
      <c r="B14" s="5"/>
      <c r="C14" s="5"/>
      <c r="D14" s="5"/>
      <c r="E14" s="5"/>
      <c r="H14" s="5"/>
      <c r="I14" s="193">
        <f>'Bank Rec'!C34</f>
        <v>74257.539999999994</v>
      </c>
    </row>
    <row r="15" spans="1:12" s="11" customFormat="1" ht="15.75" x14ac:dyDescent="0.25">
      <c r="A15" s="192" t="s">
        <v>115</v>
      </c>
      <c r="B15" s="5"/>
      <c r="C15" s="5"/>
      <c r="D15" s="5"/>
      <c r="E15" s="5"/>
      <c r="H15" s="5"/>
      <c r="I15" s="193">
        <f>'Bank Rec'!C35</f>
        <v>76291.339999999982</v>
      </c>
    </row>
    <row r="16" spans="1:12" s="11" customFormat="1" ht="15.75" x14ac:dyDescent="0.25">
      <c r="A16" s="192" t="s">
        <v>116</v>
      </c>
      <c r="B16" s="5"/>
      <c r="C16" s="5"/>
      <c r="D16" s="5"/>
      <c r="E16" s="5"/>
      <c r="H16" s="5"/>
      <c r="I16" s="193">
        <f>'Bank Rec'!C36</f>
        <v>80172.650000000009</v>
      </c>
    </row>
    <row r="17" spans="1:13" s="11" customFormat="1" ht="16.5" thickBot="1" x14ac:dyDescent="0.3">
      <c r="A17" s="192" t="s">
        <v>460</v>
      </c>
      <c r="B17" s="5"/>
      <c r="C17" s="5"/>
      <c r="D17" s="5"/>
      <c r="E17" s="5"/>
      <c r="H17" s="5"/>
      <c r="I17" s="194">
        <f>+I14+I15-I16</f>
        <v>70376.229999999967</v>
      </c>
      <c r="L17" s="237">
        <f>+I17</f>
        <v>70376.229999999967</v>
      </c>
      <c r="M17" s="191"/>
    </row>
    <row r="18" spans="1:13" s="11" customFormat="1" ht="16.5" thickTop="1" x14ac:dyDescent="0.25">
      <c r="A18" s="190"/>
      <c r="L18" s="238"/>
    </row>
    <row r="19" spans="1:13" s="11" customFormat="1" ht="18.75" x14ac:dyDescent="0.3">
      <c r="A19" s="198" t="s">
        <v>179</v>
      </c>
      <c r="L19" s="238"/>
    </row>
    <row r="20" spans="1:13" s="11" customFormat="1" ht="15.75" x14ac:dyDescent="0.25">
      <c r="A20" s="190"/>
      <c r="L20" s="238"/>
    </row>
    <row r="21" spans="1:13" s="11" customFormat="1" ht="15.75" x14ac:dyDescent="0.25">
      <c r="A21" s="190" t="s">
        <v>191</v>
      </c>
      <c r="L21" s="238"/>
    </row>
    <row r="22" spans="1:13" s="11" customFormat="1" ht="15.75" x14ac:dyDescent="0.25">
      <c r="A22" s="190"/>
      <c r="L22" s="238"/>
    </row>
    <row r="23" spans="1:13" s="16" customFormat="1" ht="18" x14ac:dyDescent="0.4">
      <c r="A23" s="12"/>
      <c r="B23" s="12"/>
      <c r="C23" s="216" t="s">
        <v>7</v>
      </c>
      <c r="D23" s="205"/>
      <c r="E23" s="206"/>
      <c r="F23" s="216" t="s">
        <v>363</v>
      </c>
      <c r="G23" s="207"/>
      <c r="H23" s="208"/>
      <c r="I23" s="217" t="s">
        <v>177</v>
      </c>
      <c r="K23" s="189"/>
      <c r="L23" s="239"/>
    </row>
    <row r="24" spans="1:13" ht="15" x14ac:dyDescent="0.25">
      <c r="A24" s="30"/>
      <c r="B24" s="30"/>
      <c r="C24" s="31"/>
      <c r="D24" s="27"/>
      <c r="E24" s="28"/>
      <c r="F24" s="31"/>
      <c r="G24" s="33"/>
      <c r="K24" s="188"/>
      <c r="L24" s="240"/>
    </row>
    <row r="25" spans="1:13" ht="15" x14ac:dyDescent="0.25">
      <c r="A25" s="12" t="s">
        <v>34</v>
      </c>
      <c r="B25" s="30"/>
      <c r="C25" s="214">
        <f>+Admin!H14</f>
        <v>14042</v>
      </c>
      <c r="D25" s="185"/>
      <c r="E25" s="186"/>
      <c r="F25" s="91">
        <f>+Admin!D14</f>
        <v>10933.320000000002</v>
      </c>
      <c r="G25" s="21"/>
      <c r="H25" s="187"/>
      <c r="I25" s="21">
        <f>C25-F25</f>
        <v>3108.6799999999985</v>
      </c>
      <c r="K25" s="188"/>
      <c r="L25" s="240"/>
    </row>
    <row r="26" spans="1:13" ht="15" x14ac:dyDescent="0.25">
      <c r="A26" s="12" t="s">
        <v>64</v>
      </c>
      <c r="C26" s="215">
        <f>+Admin!H77</f>
        <v>21380</v>
      </c>
      <c r="D26" s="185"/>
      <c r="E26" s="187"/>
      <c r="F26" s="185">
        <f>+Admin!D77</f>
        <v>19457.849999999999</v>
      </c>
      <c r="G26" s="21"/>
      <c r="H26" s="187"/>
      <c r="I26" s="21">
        <f>C26-F26</f>
        <v>1922.1500000000015</v>
      </c>
      <c r="K26" s="188"/>
      <c r="L26" s="240"/>
    </row>
    <row r="27" spans="1:13" ht="15" x14ac:dyDescent="0.25">
      <c r="A27" s="204" t="s">
        <v>65</v>
      </c>
      <c r="C27" s="215">
        <f>+Admin!H79</f>
        <v>10000</v>
      </c>
      <c r="D27" s="185"/>
      <c r="E27" s="187"/>
      <c r="F27" s="185">
        <f>+Admin!D79</f>
        <v>9999.98</v>
      </c>
      <c r="G27" s="21"/>
      <c r="H27" s="187"/>
      <c r="I27" s="21">
        <f>C27-F27</f>
        <v>2.0000000000436557E-2</v>
      </c>
      <c r="K27" s="188"/>
      <c r="L27" s="240"/>
    </row>
    <row r="28" spans="1:13" ht="15" x14ac:dyDescent="0.25">
      <c r="A28" s="204" t="s">
        <v>176</v>
      </c>
      <c r="C28" s="215">
        <f>+Enviro!H58</f>
        <v>36515</v>
      </c>
      <c r="D28" s="185"/>
      <c r="E28" s="187"/>
      <c r="F28" s="185">
        <f>+Enviro!D58</f>
        <v>32072.74</v>
      </c>
      <c r="G28" s="21"/>
      <c r="H28" s="187"/>
      <c r="I28" s="21">
        <f>C28-F28</f>
        <v>4442.2599999999984</v>
      </c>
      <c r="K28" s="188"/>
      <c r="L28" s="240"/>
    </row>
    <row r="29" spans="1:13" x14ac:dyDescent="0.2">
      <c r="A29" s="22" t="s">
        <v>308</v>
      </c>
      <c r="C29" s="218">
        <f>Summary!G49</f>
        <v>1500</v>
      </c>
      <c r="D29" s="213"/>
      <c r="F29" s="219">
        <f>Summary!C49</f>
        <v>0</v>
      </c>
      <c r="G29" s="213"/>
      <c r="I29" s="21">
        <f>C29-F29</f>
        <v>1500</v>
      </c>
      <c r="J29" s="213"/>
      <c r="K29" s="188"/>
      <c r="L29" s="240"/>
    </row>
    <row r="30" spans="1:13" ht="15.75" x14ac:dyDescent="0.25">
      <c r="A30" s="63"/>
      <c r="C30" s="195">
        <f>SUM(C25:C29)</f>
        <v>83437</v>
      </c>
      <c r="D30" s="21"/>
      <c r="E30" s="21"/>
      <c r="F30" s="195">
        <f>SUM(F25:F29)</f>
        <v>72463.89</v>
      </c>
      <c r="G30" s="21"/>
      <c r="H30" s="21"/>
      <c r="I30" s="195">
        <f>SUM(I25:I29)</f>
        <v>10973.109999999999</v>
      </c>
      <c r="L30" s="241">
        <f>+I30</f>
        <v>10973.109999999999</v>
      </c>
    </row>
    <row r="31" spans="1:13" x14ac:dyDescent="0.2">
      <c r="A31" s="63"/>
      <c r="L31" s="240"/>
    </row>
    <row r="32" spans="1:13" s="50" customFormat="1" ht="15.75" x14ac:dyDescent="0.25">
      <c r="A32" s="199" t="s">
        <v>180</v>
      </c>
      <c r="L32" s="242"/>
    </row>
    <row r="33" spans="1:12" s="50" customFormat="1" ht="15.75" x14ac:dyDescent="0.25">
      <c r="A33" s="199"/>
      <c r="L33" s="242"/>
    </row>
    <row r="34" spans="1:12" x14ac:dyDescent="0.2">
      <c r="A34" s="75" t="s">
        <v>192</v>
      </c>
      <c r="B34" s="5"/>
      <c r="C34" s="5"/>
      <c r="D34" s="5"/>
      <c r="E34" s="5"/>
      <c r="F34" s="1"/>
      <c r="G34" s="5"/>
      <c r="H34" s="5"/>
      <c r="I34" s="89">
        <v>1996.13</v>
      </c>
      <c r="L34" s="240"/>
    </row>
    <row r="35" spans="1:12" x14ac:dyDescent="0.2">
      <c r="A35" s="75" t="s">
        <v>183</v>
      </c>
      <c r="B35" s="5"/>
      <c r="C35" s="5"/>
      <c r="D35" s="5"/>
      <c r="E35" s="5"/>
      <c r="F35" s="1"/>
      <c r="G35" s="5"/>
      <c r="H35" s="5"/>
      <c r="I35" s="89">
        <v>0</v>
      </c>
      <c r="L35" s="240"/>
    </row>
    <row r="36" spans="1:12" x14ac:dyDescent="0.2">
      <c r="A36" s="75" t="s">
        <v>182</v>
      </c>
      <c r="B36" s="5"/>
      <c r="C36" s="5"/>
      <c r="D36" s="5"/>
      <c r="E36" s="5"/>
      <c r="F36" s="1"/>
      <c r="G36" s="5"/>
      <c r="H36" s="5"/>
      <c r="I36" s="89">
        <f>+Expenditure!AK28</f>
        <v>0</v>
      </c>
      <c r="L36" s="240"/>
    </row>
    <row r="37" spans="1:12" ht="15.75" x14ac:dyDescent="0.25">
      <c r="A37" s="75" t="s">
        <v>460</v>
      </c>
      <c r="B37" s="5"/>
      <c r="C37" s="5"/>
      <c r="D37" s="5"/>
      <c r="E37" s="5"/>
      <c r="F37" s="1"/>
      <c r="G37" s="5"/>
      <c r="H37" s="5"/>
      <c r="I37" s="200">
        <f>+I34+I35-I36</f>
        <v>1996.13</v>
      </c>
      <c r="L37" s="241">
        <f>+I37</f>
        <v>1996.13</v>
      </c>
    </row>
    <row r="38" spans="1:12" x14ac:dyDescent="0.2">
      <c r="A38" s="63"/>
      <c r="L38" s="240"/>
    </row>
    <row r="39" spans="1:12" ht="15.75" x14ac:dyDescent="0.25">
      <c r="A39" s="63" t="s">
        <v>422</v>
      </c>
      <c r="L39" s="243">
        <v>0</v>
      </c>
    </row>
    <row r="40" spans="1:12" x14ac:dyDescent="0.2">
      <c r="A40" s="63"/>
      <c r="L40" s="240"/>
    </row>
    <row r="41" spans="1:12" ht="19.5" thickBot="1" x14ac:dyDescent="0.35">
      <c r="F41" s="197" t="s">
        <v>181</v>
      </c>
      <c r="I41" s="196"/>
      <c r="J41" s="196"/>
      <c r="K41" s="196"/>
      <c r="L41" s="244">
        <f>+I17-L30-L37</f>
        <v>57406.989999999969</v>
      </c>
    </row>
    <row r="42" spans="1:12" ht="13.5" thickTop="1" x14ac:dyDescent="0.2">
      <c r="A42" s="63"/>
    </row>
    <row r="43" spans="1:12" x14ac:dyDescent="0.2">
      <c r="A43" s="63" t="s">
        <v>184</v>
      </c>
    </row>
    <row r="44" spans="1:12" x14ac:dyDescent="0.2">
      <c r="A44" s="63"/>
    </row>
    <row r="45" spans="1:12" x14ac:dyDescent="0.2">
      <c r="A45" s="63"/>
    </row>
    <row r="46" spans="1:12" x14ac:dyDescent="0.2">
      <c r="A46" s="63"/>
    </row>
    <row r="47" spans="1:12" x14ac:dyDescent="0.2">
      <c r="A47" s="63"/>
    </row>
    <row r="48" spans="1:12" x14ac:dyDescent="0.2">
      <c r="A48" s="63"/>
    </row>
    <row r="49" spans="1:1" x14ac:dyDescent="0.2">
      <c r="A49" s="63"/>
    </row>
    <row r="50" spans="1:1" x14ac:dyDescent="0.2">
      <c r="A50" s="63"/>
    </row>
    <row r="51" spans="1:1" x14ac:dyDescent="0.2">
      <c r="A51" s="63"/>
    </row>
    <row r="52" spans="1:1" x14ac:dyDescent="0.2">
      <c r="A52" s="63"/>
    </row>
    <row r="53" spans="1:1" x14ac:dyDescent="0.2">
      <c r="A53" s="63"/>
    </row>
    <row r="54" spans="1:1" x14ac:dyDescent="0.2">
      <c r="A54" s="63"/>
    </row>
    <row r="55" spans="1:1" x14ac:dyDescent="0.2">
      <c r="A55" s="63"/>
    </row>
    <row r="56" spans="1:1" x14ac:dyDescent="0.2">
      <c r="A56" s="63"/>
    </row>
    <row r="57" spans="1:1" x14ac:dyDescent="0.2">
      <c r="A57" s="63"/>
    </row>
    <row r="58" spans="1:1" x14ac:dyDescent="0.2">
      <c r="A58" s="63"/>
    </row>
    <row r="59" spans="1:1" x14ac:dyDescent="0.2">
      <c r="A59" s="63"/>
    </row>
    <row r="60" spans="1:1" x14ac:dyDescent="0.2">
      <c r="A60" s="63"/>
    </row>
    <row r="61" spans="1:1" x14ac:dyDescent="0.2">
      <c r="A61" s="63"/>
    </row>
    <row r="62" spans="1:1" x14ac:dyDescent="0.2">
      <c r="A62" s="63"/>
    </row>
    <row r="63" spans="1:1" x14ac:dyDescent="0.2">
      <c r="A63" s="63"/>
    </row>
    <row r="64" spans="1:1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5"/>
    </row>
    <row r="77" spans="1:1" x14ac:dyDescent="0.2">
      <c r="A77" s="65"/>
    </row>
    <row r="94" s="50" customFormat="1" x14ac:dyDescent="0.2"/>
    <row r="96" s="50" customFormat="1" x14ac:dyDescent="0.2"/>
    <row r="98" s="50" customFormat="1" x14ac:dyDescent="0.2"/>
  </sheetData>
  <mergeCells count="2">
    <mergeCell ref="A1:L1"/>
    <mergeCell ref="A3:L3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Summary</vt:lpstr>
      <vt:lpstr>Admin</vt:lpstr>
      <vt:lpstr>Enviro</vt:lpstr>
      <vt:lpstr>Bank Rec</vt:lpstr>
      <vt:lpstr>Income</vt:lpstr>
      <vt:lpstr>Expenditure</vt:lpstr>
      <vt:lpstr>Deposit Ac</vt:lpstr>
      <vt:lpstr>INT TFRS</vt:lpstr>
      <vt:lpstr>Breakdown of Balances</vt:lpstr>
      <vt:lpstr>Admin!Print_Area</vt:lpstr>
      <vt:lpstr>Enviro!Print_Area</vt:lpstr>
      <vt:lpstr>Expenditure!Print_Area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2017-04-10T16:08:20Z</cp:lastPrinted>
  <dcterms:created xsi:type="dcterms:W3CDTF">2009-07-03T09:44:31Z</dcterms:created>
  <dcterms:modified xsi:type="dcterms:W3CDTF">2017-04-18T20:33:47Z</dcterms:modified>
</cp:coreProperties>
</file>